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indicatori unità locali" sheetId="1" r:id="rId1"/>
  </sheets>
  <definedNames/>
  <calcPr fullCalcOnLoad="1"/>
</workbook>
</file>

<file path=xl/sharedStrings.xml><?xml version="1.0" encoding="utf-8"?>
<sst xmlns="http://schemas.openxmlformats.org/spreadsheetml/2006/main" count="270" uniqueCount="88">
  <si>
    <t>LIGURIA</t>
  </si>
  <si>
    <t>DE5</t>
  </si>
  <si>
    <t>DEA1</t>
  </si>
  <si>
    <t>DEF</t>
  </si>
  <si>
    <t>FR53</t>
  </si>
  <si>
    <t>POITOU-CHARENTES</t>
  </si>
  <si>
    <t>FR61</t>
  </si>
  <si>
    <t>AQUITAINE</t>
  </si>
  <si>
    <t>FR83</t>
  </si>
  <si>
    <t>CORSE</t>
  </si>
  <si>
    <t>GR41</t>
  </si>
  <si>
    <t>VOREIO AIGAIO</t>
  </si>
  <si>
    <t>FRIULI-VENEZIA GIULIA</t>
  </si>
  <si>
    <t>TOSCANA</t>
  </si>
  <si>
    <t>LAZIO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</si>
  <si>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</si>
  <si>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</si>
  <si>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</si>
  <si>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</si>
  <si>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</si>
  <si>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</si>
  <si>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</si>
  <si>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</si>
  <si>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</si>
  <si>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</si>
  <si>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</si>
  <si>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</si>
  <si>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</si>
  <si>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</si>
  <si>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UKC2</t>
  </si>
  <si>
    <t>UKE1</t>
  </si>
  <si>
    <t>UKK2</t>
  </si>
  <si>
    <t>UKK3</t>
  </si>
  <si>
    <t>UKK4</t>
  </si>
  <si>
    <t>UKL1</t>
  </si>
  <si>
    <t>UKM2</t>
  </si>
  <si>
    <t>UKM3</t>
  </si>
  <si>
    <r>
      <t xml:space="preserve">Fonte: </t>
    </r>
    <r>
      <rPr>
        <sz val="7"/>
        <rFont val="Arial"/>
        <family val="2"/>
      </rPr>
      <t>EUROSTAT</t>
    </r>
  </si>
  <si>
    <t xml:space="preserve">REGIONE </t>
  </si>
  <si>
    <t>COMPLESSO 27 REGIONI</t>
  </si>
  <si>
    <t>COMPLESSO UE 15</t>
  </si>
  <si>
    <t>….</t>
  </si>
  <si>
    <t>UNITA' LOCALI</t>
  </si>
  <si>
    <t>RETRIBUZIONI</t>
  </si>
  <si>
    <t>INVESTIMENTI LORDI</t>
  </si>
  <si>
    <t>OCCUPATI</t>
  </si>
  <si>
    <t>SETTORE</t>
  </si>
  <si>
    <t>Trasporti</t>
  </si>
  <si>
    <t>(a) Industria in senso allargato, comprensiva delle costruzioni</t>
  </si>
  <si>
    <t>(b) Il commercio comprende anche gli alberghi e i pubblici esercizi</t>
  </si>
  <si>
    <t>COD. NUTS2</t>
  </si>
  <si>
    <t>…..</t>
  </si>
  <si>
    <t>ITC3</t>
  </si>
  <si>
    <t>ITD4</t>
  </si>
  <si>
    <t>ITE1</t>
  </si>
  <si>
    <t>ITE4</t>
  </si>
  <si>
    <t>PT18</t>
  </si>
  <si>
    <r>
      <t xml:space="preserve">Tavola 25.22  Unità locali, retribuzioni, investimenti lordi e occupati per settore - Anno 2000 </t>
    </r>
    <r>
      <rPr>
        <i/>
        <sz val="9"/>
        <rFont val="Arial"/>
        <family val="2"/>
      </rPr>
      <t>(milioni di euro)</t>
    </r>
  </si>
  <si>
    <t>(e) Industria in senso stretto</t>
  </si>
  <si>
    <t>(f) Per retribuzioni, investimenti e occupati della sezione NACE E i dati sono soggetti al segreto statistico</t>
  </si>
  <si>
    <t xml:space="preserve">(d) Gli altri servizi comprendono le codifiche NACE Rev 1 comprese nella sezione K (Attività immobiliari, noleggio, informatica, ricerca, altre attività professionali ed imprenditoriali) </t>
  </si>
  <si>
    <t xml:space="preserve">       e nei gruppi J65 (Intermediazione monetaria e finanziaria - escluse le assicurazioni e i fondi pensione) e J67 (Attività ausiliarie dell'intermediazione finanziaria e delle assicurazioni)</t>
  </si>
  <si>
    <t>(h) I dati si riferiscono alla sola sezione NACE G</t>
  </si>
  <si>
    <t>(l) Le unità locali si riferiscono alla sola sezione NACE K; le retribuzioni e gli investimenti fissi lordi si riferiscono in genere alla sola sezione NACE K con l'esclusione delle regioni italiane;</t>
  </si>
  <si>
    <t xml:space="preserve">  gli occupati si riferiscono in genere alla sezione NACE K con l'esclusione delle regioni italiane e di quelle britanniche, dove peraltro il dato di UKK3 per il gruppo NACE J65 e quelli di  </t>
  </si>
  <si>
    <t xml:space="preserve">  UKC1, UKC2,UKE1 e UKK3 per il gruppo NACE J67 sono coperti dal segreto statistico</t>
  </si>
  <si>
    <t>(c) Per le regioni tedesche il dato del commercio riguarda soltanto alberghi e pubblici esercizi</t>
  </si>
  <si>
    <r>
      <t xml:space="preserve">Tavola 25.22 segue Unità locali, retribuzioni, investimenti lordi e occupati per settore - Anno 2000 </t>
    </r>
    <r>
      <rPr>
        <i/>
        <sz val="9"/>
        <rFont val="Arial"/>
        <family val="2"/>
      </rPr>
      <t>(milioni di euro)</t>
    </r>
  </si>
  <si>
    <t>BREMEN ( c )</t>
  </si>
  <si>
    <t>Industria (a)</t>
  </si>
  <si>
    <t>Commercio (b)-(h)</t>
  </si>
  <si>
    <t>Altri servizi (d)-(l)</t>
  </si>
  <si>
    <t>DUESSELDORF ( c )</t>
  </si>
  <si>
    <t>Altri servizi (d)</t>
  </si>
  <si>
    <t>SCHLESWIG-HOLSTEIN ( c )</t>
  </si>
  <si>
    <t>Commercio (b)</t>
  </si>
  <si>
    <t>Industria (e)</t>
  </si>
  <si>
    <t>TEES VALLEY &amp; DURHAM (g)</t>
  </si>
  <si>
    <t>NORTHUMBERLAND AND TYNE &amp; WEAR (g)</t>
  </si>
  <si>
    <t>EAST RIDING &amp; NORTH LINCOLNSHIRE (g)</t>
  </si>
  <si>
    <t>DORSET &amp; SOMERSET (g)</t>
  </si>
  <si>
    <t>Industria (a)-(f)</t>
  </si>
  <si>
    <t>CORNWALL &amp; ISLES OF SCILLY (g)</t>
  </si>
  <si>
    <t>DEVON (g)</t>
  </si>
  <si>
    <t>WEST WALES &amp; THE VALLEYS (g)</t>
  </si>
  <si>
    <t>EASTERN SCOTLAND(g)</t>
  </si>
  <si>
    <t>SOUTH WESTERN SCOTLAND (g)</t>
  </si>
  <si>
    <t>(g) Gli occupati della sezione NACE E sono provvisori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</si>
</sst>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170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 wrapText="1"/>
    </xf>
    <xf numFmtId="170" fontId="8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70" fontId="8" fillId="0" borderId="0" xfId="0" applyNumberFormat="1" applyFont="1" applyBorder="1" applyAlignment="1">
      <alignment horizontal="right"/>
    </xf>
    <xf numFmtId="170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70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 horizontal="right" vertical="center"/>
    </xf>
    <xf numFmtId="170" fontId="8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3" fontId="10" fillId="0" borderId="0" xfId="0" applyNumberFormat="1" applyFont="1" applyBorder="1" applyAlignment="1">
      <alignment/>
    </xf>
    <xf numFmtId="170" fontId="10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 wrapText="1"/>
    </xf>
    <xf numFmtId="170" fontId="8" fillId="0" borderId="0" xfId="0" applyNumberFormat="1" applyFont="1" applyAlignment="1">
      <alignment wrapText="1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center" vertical="center"/>
    </xf>
    <xf numFmtId="0" fontId="10" fillId="0" borderId="2" xfId="0" applyFont="1" applyBorder="1" applyAlignment="1">
      <alignment/>
    </xf>
    <xf numFmtId="3" fontId="8" fillId="0" borderId="2" xfId="0" applyNumberFormat="1" applyFont="1" applyFill="1" applyBorder="1" applyAlignment="1">
      <alignment horizontal="right"/>
    </xf>
    <xf numFmtId="170" fontId="8" fillId="0" borderId="2" xfId="0" applyNumberFormat="1" applyFont="1" applyFill="1" applyBorder="1" applyAlignment="1">
      <alignment horizontal="right"/>
    </xf>
    <xf numFmtId="3" fontId="4" fillId="0" borderId="0" xfId="0" applyNumberFormat="1" applyFont="1" applyAlignment="1" quotePrefix="1">
      <alignment wrapText="1"/>
    </xf>
    <xf numFmtId="170" fontId="4" fillId="0" borderId="0" xfId="0" applyNumberFormat="1" applyFont="1" applyAlignment="1" quotePrefix="1">
      <alignment wrapText="1"/>
    </xf>
    <xf numFmtId="3" fontId="11" fillId="0" borderId="0" xfId="0" applyNumberFormat="1" applyFont="1" applyAlignment="1" quotePrefix="1">
      <alignment wrapText="1"/>
    </xf>
    <xf numFmtId="170" fontId="11" fillId="0" borderId="0" xfId="0" applyNumberFormat="1" applyFont="1" applyAlignment="1" quotePrefix="1">
      <alignment wrapText="1"/>
    </xf>
    <xf numFmtId="0" fontId="0" fillId="0" borderId="0" xfId="0" applyFont="1" applyAlignment="1">
      <alignment/>
    </xf>
    <xf numFmtId="3" fontId="6" fillId="0" borderId="0" xfId="0" applyNumberFormat="1" applyFont="1" applyAlignment="1">
      <alignment wrapText="1"/>
    </xf>
    <xf numFmtId="170" fontId="6" fillId="0" borderId="0" xfId="0" applyNumberFormat="1" applyFont="1" applyAlignment="1">
      <alignment wrapTex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5.00390625" style="49" customWidth="1"/>
    <col min="2" max="2" width="39.8515625" style="49" customWidth="1"/>
    <col min="3" max="3" width="17.00390625" style="49" customWidth="1"/>
    <col min="4" max="4" width="11.7109375" style="50" customWidth="1"/>
    <col min="5" max="6" width="11.7109375" style="51" customWidth="1"/>
    <col min="7" max="7" width="11.7109375" style="50" customWidth="1"/>
    <col min="8" max="16384" width="9.140625" style="49" customWidth="1"/>
  </cols>
  <sheetData>
    <row r="1" spans="1:7" s="3" customFormat="1" ht="18.75" customHeight="1">
      <c r="A1" s="2" t="s">
        <v>57</v>
      </c>
      <c r="B1" s="2"/>
      <c r="C1" s="2"/>
      <c r="D1" s="47"/>
      <c r="E1" s="48"/>
      <c r="F1" s="48"/>
      <c r="G1" s="47"/>
    </row>
    <row r="3" spans="1:7" s="5" customFormat="1" ht="30.75" customHeight="1">
      <c r="A3" s="7" t="s">
        <v>50</v>
      </c>
      <c r="B3" s="8" t="s">
        <v>38</v>
      </c>
      <c r="C3" s="9" t="s">
        <v>46</v>
      </c>
      <c r="D3" s="10" t="s">
        <v>42</v>
      </c>
      <c r="E3" s="11" t="s">
        <v>43</v>
      </c>
      <c r="F3" s="11" t="s">
        <v>44</v>
      </c>
      <c r="G3" s="10" t="s">
        <v>45</v>
      </c>
    </row>
    <row r="4" spans="1:7" s="16" customFormat="1" ht="9" customHeight="1">
      <c r="A4" s="12"/>
      <c r="B4" s="12"/>
      <c r="C4" s="13"/>
      <c r="D4" s="14"/>
      <c r="E4" s="15"/>
      <c r="F4" s="15"/>
      <c r="G4" s="14"/>
    </row>
    <row r="5" spans="1:7" s="16" customFormat="1" ht="12" customHeight="1">
      <c r="A5" s="52" t="s">
        <v>1</v>
      </c>
      <c r="B5" s="52" t="s">
        <v>68</v>
      </c>
      <c r="C5" s="18" t="s">
        <v>69</v>
      </c>
      <c r="D5" s="19">
        <v>523</v>
      </c>
      <c r="E5" s="20">
        <f>4838.2+285.7</f>
        <v>5123.9</v>
      </c>
      <c r="F5" s="21">
        <v>689.5</v>
      </c>
      <c r="G5" s="19">
        <f>64802+9193</f>
        <v>73995</v>
      </c>
    </row>
    <row r="6" spans="1:7" s="16" customFormat="1" ht="12" customHeight="1">
      <c r="A6" s="52"/>
      <c r="B6" s="52"/>
      <c r="C6" s="18" t="s">
        <v>70</v>
      </c>
      <c r="D6" s="22" t="s">
        <v>41</v>
      </c>
      <c r="E6" s="23">
        <v>888.8</v>
      </c>
      <c r="F6" s="21" t="s">
        <v>41</v>
      </c>
      <c r="G6" s="22">
        <v>46293</v>
      </c>
    </row>
    <row r="7" spans="1:7" s="16" customFormat="1" ht="12" customHeight="1">
      <c r="A7" s="52"/>
      <c r="B7" s="52"/>
      <c r="C7" s="18" t="s">
        <v>47</v>
      </c>
      <c r="D7" s="19">
        <v>557</v>
      </c>
      <c r="E7" s="21">
        <v>598</v>
      </c>
      <c r="F7" s="21" t="s">
        <v>41</v>
      </c>
      <c r="G7" s="19">
        <v>17807</v>
      </c>
    </row>
    <row r="8" spans="1:7" s="16" customFormat="1" ht="12" customHeight="1">
      <c r="A8" s="52"/>
      <c r="B8" s="52"/>
      <c r="C8" s="18" t="s">
        <v>71</v>
      </c>
      <c r="D8" s="19">
        <v>2221</v>
      </c>
      <c r="E8" s="21">
        <v>489.1</v>
      </c>
      <c r="F8" s="21" t="s">
        <v>41</v>
      </c>
      <c r="G8" s="19">
        <v>23744</v>
      </c>
    </row>
    <row r="9" spans="1:7" s="16" customFormat="1" ht="12" customHeight="1">
      <c r="A9" s="52" t="s">
        <v>2</v>
      </c>
      <c r="B9" s="52" t="s">
        <v>72</v>
      </c>
      <c r="C9" s="18" t="s">
        <v>69</v>
      </c>
      <c r="D9" s="24">
        <f>46+2701+957</f>
        <v>3704</v>
      </c>
      <c r="E9" s="23">
        <f>1435.2+27509.5+1632.1</f>
        <v>30576.8</v>
      </c>
      <c r="F9" s="21">
        <f>71.3+3466.6</f>
        <v>3537.9</v>
      </c>
      <c r="G9" s="24">
        <v>451524</v>
      </c>
    </row>
    <row r="10" spans="1:7" s="16" customFormat="1" ht="12" customHeight="1">
      <c r="A10" s="52"/>
      <c r="B10" s="52"/>
      <c r="C10" s="18" t="s">
        <v>70</v>
      </c>
      <c r="D10" s="22" t="s">
        <v>41</v>
      </c>
      <c r="E10" s="23">
        <v>7008.2</v>
      </c>
      <c r="F10" s="21" t="s">
        <v>41</v>
      </c>
      <c r="G10" s="22">
        <v>343925</v>
      </c>
    </row>
    <row r="11" spans="1:7" s="16" customFormat="1" ht="12" customHeight="1">
      <c r="A11" s="52"/>
      <c r="B11" s="52"/>
      <c r="C11" s="18" t="s">
        <v>47</v>
      </c>
      <c r="D11" s="19">
        <v>4949</v>
      </c>
      <c r="E11" s="21" t="s">
        <v>41</v>
      </c>
      <c r="F11" s="21" t="s">
        <v>41</v>
      </c>
      <c r="G11" s="19" t="s">
        <v>41</v>
      </c>
    </row>
    <row r="12" spans="1:7" s="16" customFormat="1" ht="12" customHeight="1">
      <c r="A12" s="52"/>
      <c r="B12" s="52"/>
      <c r="C12" s="18" t="s">
        <v>73</v>
      </c>
      <c r="D12" s="19">
        <v>28340</v>
      </c>
      <c r="E12" s="21" t="s">
        <v>41</v>
      </c>
      <c r="F12" s="21" t="s">
        <v>41</v>
      </c>
      <c r="G12" s="19" t="s">
        <v>51</v>
      </c>
    </row>
    <row r="13" spans="1:7" s="16" customFormat="1" ht="12" customHeight="1">
      <c r="A13" s="52" t="s">
        <v>3</v>
      </c>
      <c r="B13" s="52" t="s">
        <v>74</v>
      </c>
      <c r="C13" s="18" t="s">
        <v>69</v>
      </c>
      <c r="D13" s="25">
        <f>57+1437+738</f>
        <v>2232</v>
      </c>
      <c r="E13" s="23">
        <f>57.2+9211+789.5</f>
        <v>10057.7</v>
      </c>
      <c r="F13" s="26">
        <f>38.8+1117.3</f>
        <v>1156.1</v>
      </c>
      <c r="G13" s="25">
        <f>928+140056+28922</f>
        <v>169906</v>
      </c>
    </row>
    <row r="14" spans="1:7" s="16" customFormat="1" ht="12" customHeight="1">
      <c r="A14" s="52"/>
      <c r="B14" s="52"/>
      <c r="C14" s="18" t="s">
        <v>70</v>
      </c>
      <c r="D14" s="22" t="s">
        <v>41</v>
      </c>
      <c r="E14" s="26">
        <v>3211.2</v>
      </c>
      <c r="F14" s="21" t="s">
        <v>41</v>
      </c>
      <c r="G14" s="22">
        <v>168510</v>
      </c>
    </row>
    <row r="15" spans="1:7" s="16" customFormat="1" ht="12" customHeight="1">
      <c r="A15" s="52"/>
      <c r="B15" s="52"/>
      <c r="C15" s="18" t="s">
        <v>47</v>
      </c>
      <c r="D15" s="19">
        <v>2547</v>
      </c>
      <c r="E15" s="21" t="s">
        <v>41</v>
      </c>
      <c r="F15" s="21" t="s">
        <v>41</v>
      </c>
      <c r="G15" s="19">
        <v>31451</v>
      </c>
    </row>
    <row r="16" spans="1:7" s="16" customFormat="1" ht="12" customHeight="1">
      <c r="A16" s="52"/>
      <c r="B16" s="52"/>
      <c r="C16" s="18" t="s">
        <v>73</v>
      </c>
      <c r="D16" s="19">
        <v>11684</v>
      </c>
      <c r="E16" s="21" t="s">
        <v>41</v>
      </c>
      <c r="F16" s="21" t="s">
        <v>41</v>
      </c>
      <c r="G16" s="21" t="s">
        <v>41</v>
      </c>
    </row>
    <row r="17" spans="1:7" s="16" customFormat="1" ht="12" customHeight="1">
      <c r="A17" s="52" t="s">
        <v>4</v>
      </c>
      <c r="B17" s="52" t="s">
        <v>5</v>
      </c>
      <c r="C17" s="18" t="s">
        <v>69</v>
      </c>
      <c r="D17" s="25">
        <f>161+7853+203+10675</f>
        <v>18892</v>
      </c>
      <c r="E17" s="26">
        <f>33.6+2233.9+132.1+562.7</f>
        <v>2962.3</v>
      </c>
      <c r="F17" s="26">
        <f>14.7+662.7+122+107.7</f>
        <v>907.1000000000001</v>
      </c>
      <c r="G17" s="25">
        <f>1463+101470+4215+40859</f>
        <v>148007</v>
      </c>
    </row>
    <row r="18" spans="1:7" s="16" customFormat="1" ht="12" customHeight="1">
      <c r="A18" s="52"/>
      <c r="B18" s="52"/>
      <c r="C18" s="18" t="s">
        <v>75</v>
      </c>
      <c r="D18" s="25">
        <f>19317+5331</f>
        <v>24648</v>
      </c>
      <c r="E18" s="23">
        <f>1276+205.9</f>
        <v>1481.9</v>
      </c>
      <c r="F18" s="26">
        <f>366.6+116.2</f>
        <v>482.8</v>
      </c>
      <c r="G18" s="25">
        <f>74077+15966</f>
        <v>90043</v>
      </c>
    </row>
    <row r="19" spans="1:7" s="16" customFormat="1" ht="12" customHeight="1">
      <c r="A19" s="52"/>
      <c r="B19" s="52"/>
      <c r="C19" s="18" t="s">
        <v>47</v>
      </c>
      <c r="D19" s="24">
        <v>2925</v>
      </c>
      <c r="E19" s="26">
        <v>521.5</v>
      </c>
      <c r="F19" s="26">
        <v>234.5</v>
      </c>
      <c r="G19" s="24">
        <v>24058</v>
      </c>
    </row>
    <row r="20" spans="1:7" s="16" customFormat="1" ht="12" customHeight="1">
      <c r="A20" s="52"/>
      <c r="B20" s="52"/>
      <c r="C20" s="18" t="s">
        <v>73</v>
      </c>
      <c r="D20" s="24">
        <v>8864</v>
      </c>
      <c r="E20" s="23">
        <v>797.2</v>
      </c>
      <c r="F20" s="26">
        <v>312.8</v>
      </c>
      <c r="G20" s="24">
        <v>38981</v>
      </c>
    </row>
    <row r="21" spans="1:7" s="16" customFormat="1" ht="12" customHeight="1">
      <c r="A21" s="52" t="s">
        <v>6</v>
      </c>
      <c r="B21" s="52" t="s">
        <v>7</v>
      </c>
      <c r="C21" s="18" t="s">
        <v>69</v>
      </c>
      <c r="D21" s="25">
        <f>270+14847+495+20598</f>
        <v>36210</v>
      </c>
      <c r="E21" s="26">
        <v>4866.2</v>
      </c>
      <c r="F21" s="26">
        <f>62.1+1121.6+330.7+200.5</f>
        <v>1714.8999999999999</v>
      </c>
      <c r="G21" s="25">
        <f>3248+146925+9103+71509</f>
        <v>230785</v>
      </c>
    </row>
    <row r="22" spans="1:7" s="16" customFormat="1" ht="12" customHeight="1">
      <c r="A22" s="52"/>
      <c r="B22" s="52"/>
      <c r="C22" s="18" t="s">
        <v>75</v>
      </c>
      <c r="D22" s="25">
        <f>39330+11370</f>
        <v>50700</v>
      </c>
      <c r="E22" s="26">
        <f>2591.9+452.6</f>
        <v>3044.5</v>
      </c>
      <c r="F22" s="26">
        <f>685.8+205.3</f>
        <v>891.0999999999999</v>
      </c>
      <c r="G22" s="25">
        <f>145170+33909</f>
        <v>179079</v>
      </c>
    </row>
    <row r="23" spans="1:7" s="16" customFormat="1" ht="12" customHeight="1">
      <c r="A23" s="52"/>
      <c r="B23" s="52"/>
      <c r="C23" s="18" t="s">
        <v>47</v>
      </c>
      <c r="D23" s="24">
        <v>6404</v>
      </c>
      <c r="E23" s="26">
        <v>1144.3</v>
      </c>
      <c r="F23" s="26">
        <v>630.9</v>
      </c>
      <c r="G23" s="24">
        <v>49530</v>
      </c>
    </row>
    <row r="24" spans="1:7" s="16" customFormat="1" ht="12" customHeight="1">
      <c r="A24" s="52"/>
      <c r="B24" s="52"/>
      <c r="C24" s="18" t="s">
        <v>73</v>
      </c>
      <c r="D24" s="24">
        <v>21774</v>
      </c>
      <c r="E24" s="23">
        <v>1985.2</v>
      </c>
      <c r="F24" s="26">
        <v>796</v>
      </c>
      <c r="G24" s="24">
        <v>88063</v>
      </c>
    </row>
    <row r="25" spans="1:7" s="16" customFormat="1" ht="12" customHeight="1">
      <c r="A25" s="52" t="s">
        <v>8</v>
      </c>
      <c r="B25" s="52" t="s">
        <v>9</v>
      </c>
      <c r="C25" s="18" t="s">
        <v>69</v>
      </c>
      <c r="D25" s="25">
        <f>23+1405+54+2448</f>
        <v>3930</v>
      </c>
      <c r="E25" s="26">
        <f>98.7+32.8+65.7+3.4</f>
        <v>200.6</v>
      </c>
      <c r="F25" s="26">
        <f>1.7+19.4+27.6+18.4</f>
        <v>67.1</v>
      </c>
      <c r="G25" s="24">
        <f>7333+976+3909+165</f>
        <v>12383</v>
      </c>
    </row>
    <row r="26" spans="1:7" s="16" customFormat="1" ht="12" customHeight="1">
      <c r="A26" s="52"/>
      <c r="B26" s="52"/>
      <c r="C26" s="18" t="s">
        <v>75</v>
      </c>
      <c r="D26" s="25">
        <v>8004</v>
      </c>
      <c r="E26" s="26">
        <f>212.8+83.6</f>
        <v>296.4</v>
      </c>
      <c r="F26" s="26">
        <f>52.3+59</f>
        <v>111.3</v>
      </c>
      <c r="G26" s="25">
        <f>13461+5970</f>
        <v>19431</v>
      </c>
    </row>
    <row r="27" spans="1:7" s="16" customFormat="1" ht="12" customHeight="1">
      <c r="A27" s="52"/>
      <c r="B27" s="52"/>
      <c r="C27" s="18" t="s">
        <v>47</v>
      </c>
      <c r="D27" s="24">
        <v>972</v>
      </c>
      <c r="E27" s="23">
        <v>112.9</v>
      </c>
      <c r="F27" s="26">
        <v>38.1</v>
      </c>
      <c r="G27" s="24">
        <v>4472</v>
      </c>
    </row>
    <row r="28" spans="1:7" s="16" customFormat="1" ht="12" customHeight="1">
      <c r="A28" s="52"/>
      <c r="B28" s="52"/>
      <c r="C28" s="18" t="s">
        <v>73</v>
      </c>
      <c r="D28" s="24">
        <v>2340</v>
      </c>
      <c r="E28" s="23">
        <v>74</v>
      </c>
      <c r="F28" s="23">
        <v>217.1</v>
      </c>
      <c r="G28" s="24">
        <v>4539</v>
      </c>
    </row>
    <row r="29" spans="1:7" s="16" customFormat="1" ht="12" customHeight="1">
      <c r="A29" s="52" t="s">
        <v>10</v>
      </c>
      <c r="B29" s="52" t="s">
        <v>11</v>
      </c>
      <c r="C29" s="18" t="s">
        <v>69</v>
      </c>
      <c r="D29" s="27" t="s">
        <v>41</v>
      </c>
      <c r="E29" s="28" t="s">
        <v>41</v>
      </c>
      <c r="F29" s="28" t="s">
        <v>41</v>
      </c>
      <c r="G29" s="27" t="s">
        <v>41</v>
      </c>
    </row>
    <row r="30" spans="1:7" s="16" customFormat="1" ht="12" customHeight="1">
      <c r="A30" s="52"/>
      <c r="B30" s="52"/>
      <c r="C30" s="18" t="s">
        <v>75</v>
      </c>
      <c r="D30" s="27" t="s">
        <v>41</v>
      </c>
      <c r="E30" s="28" t="s">
        <v>41</v>
      </c>
      <c r="F30" s="28" t="s">
        <v>41</v>
      </c>
      <c r="G30" s="27" t="s">
        <v>41</v>
      </c>
    </row>
    <row r="31" spans="1:7" s="16" customFormat="1" ht="12" customHeight="1">
      <c r="A31" s="52"/>
      <c r="B31" s="52"/>
      <c r="C31" s="18" t="s">
        <v>47</v>
      </c>
      <c r="D31" s="27" t="s">
        <v>41</v>
      </c>
      <c r="E31" s="28" t="s">
        <v>41</v>
      </c>
      <c r="F31" s="28" t="s">
        <v>41</v>
      </c>
      <c r="G31" s="27" t="s">
        <v>41</v>
      </c>
    </row>
    <row r="32" spans="1:7" s="16" customFormat="1" ht="12" customHeight="1">
      <c r="A32" s="52"/>
      <c r="B32" s="52"/>
      <c r="C32" s="18" t="s">
        <v>73</v>
      </c>
      <c r="D32" s="27" t="s">
        <v>41</v>
      </c>
      <c r="E32" s="28" t="s">
        <v>41</v>
      </c>
      <c r="F32" s="28" t="s">
        <v>41</v>
      </c>
      <c r="G32" s="27" t="s">
        <v>41</v>
      </c>
    </row>
    <row r="33" spans="1:7" s="32" customFormat="1" ht="12" customHeight="1">
      <c r="A33" s="53" t="s">
        <v>52</v>
      </c>
      <c r="B33" s="53" t="s">
        <v>0</v>
      </c>
      <c r="C33" s="29" t="s">
        <v>69</v>
      </c>
      <c r="D33" s="30">
        <f>153+12887+89+16738</f>
        <v>29867</v>
      </c>
      <c r="E33" s="31">
        <f>10.7+1466.1+151.7+424.9</f>
        <v>2053.4</v>
      </c>
      <c r="F33" s="31">
        <f>5.4+595+98.5+90.8</f>
        <v>789.6999999999999</v>
      </c>
      <c r="G33" s="30">
        <f>733+79603+5214+41496</f>
        <v>127046</v>
      </c>
    </row>
    <row r="34" spans="1:7" s="32" customFormat="1" ht="12" customHeight="1">
      <c r="A34" s="53"/>
      <c r="B34" s="53"/>
      <c r="C34" s="29" t="s">
        <v>75</v>
      </c>
      <c r="D34" s="33">
        <f>45694+10766</f>
        <v>56460</v>
      </c>
      <c r="E34" s="31">
        <f>814.3+236.2</f>
        <v>1050.5</v>
      </c>
      <c r="F34" s="31">
        <f>371.1+40.5</f>
        <v>411.6</v>
      </c>
      <c r="G34" s="30">
        <f>98036+33970</f>
        <v>132006</v>
      </c>
    </row>
    <row r="35" spans="1:7" s="32" customFormat="1" ht="12" customHeight="1">
      <c r="A35" s="53"/>
      <c r="B35" s="53"/>
      <c r="C35" s="29" t="s">
        <v>47</v>
      </c>
      <c r="D35" s="33">
        <v>6297</v>
      </c>
      <c r="E35" s="34">
        <v>973.6</v>
      </c>
      <c r="F35" s="34">
        <v>1131.8</v>
      </c>
      <c r="G35" s="33">
        <v>46673</v>
      </c>
    </row>
    <row r="36" spans="1:7" s="32" customFormat="1" ht="12" customHeight="1">
      <c r="A36" s="53"/>
      <c r="B36" s="53"/>
      <c r="C36" s="29" t="s">
        <v>73</v>
      </c>
      <c r="D36" s="33">
        <v>26838</v>
      </c>
      <c r="E36" s="34">
        <f>541.3+11.7+24.2</f>
        <v>577.2</v>
      </c>
      <c r="F36" s="31">
        <f>219.5+78.8+7.1</f>
        <v>305.40000000000003</v>
      </c>
      <c r="G36" s="33">
        <f>60489+588+5210</f>
        <v>66287</v>
      </c>
    </row>
    <row r="37" spans="1:7" s="16" customFormat="1" ht="12" customHeight="1">
      <c r="A37" s="52" t="s">
        <v>53</v>
      </c>
      <c r="B37" s="52" t="s">
        <v>12</v>
      </c>
      <c r="C37" s="18" t="s">
        <v>69</v>
      </c>
      <c r="D37" s="25">
        <f>115+12903+68+11280</f>
        <v>24366</v>
      </c>
      <c r="E37" s="26">
        <f>10.9+2322.2+83.2+309.8</f>
        <v>2726.1</v>
      </c>
      <c r="F37" s="26">
        <f>10.8+1197.4+41.5+68.9</f>
        <v>1318.6000000000001</v>
      </c>
      <c r="G37" s="25">
        <f>633+136049+2986+32090</f>
        <v>171758</v>
      </c>
    </row>
    <row r="38" spans="1:7" s="16" customFormat="1" ht="12" customHeight="1">
      <c r="A38" s="52"/>
      <c r="B38" s="52"/>
      <c r="C38" s="18" t="s">
        <v>75</v>
      </c>
      <c r="D38" s="24">
        <f>27696+7385</f>
        <v>35081</v>
      </c>
      <c r="E38" s="26">
        <f>760.6+171</f>
        <v>931.6</v>
      </c>
      <c r="F38" s="26">
        <f>274.7+46.6</f>
        <v>321.3</v>
      </c>
      <c r="G38" s="24">
        <f>70832+22798</f>
        <v>93630</v>
      </c>
    </row>
    <row r="39" spans="1:7" s="16" customFormat="1" ht="12" customHeight="1">
      <c r="A39" s="52"/>
      <c r="B39" s="52"/>
      <c r="C39" s="18" t="s">
        <v>47</v>
      </c>
      <c r="D39" s="24">
        <v>4034</v>
      </c>
      <c r="E39" s="23">
        <v>535.4</v>
      </c>
      <c r="F39" s="26">
        <v>364.9</v>
      </c>
      <c r="G39" s="24">
        <v>27233</v>
      </c>
    </row>
    <row r="40" spans="1:7" s="16" customFormat="1" ht="12" customHeight="1">
      <c r="A40" s="52"/>
      <c r="B40" s="52"/>
      <c r="C40" s="18" t="s">
        <v>73</v>
      </c>
      <c r="D40" s="24">
        <v>17558</v>
      </c>
      <c r="E40" s="23">
        <f>376.3+7.6+19</f>
        <v>402.90000000000003</v>
      </c>
      <c r="F40" s="26">
        <f>584.1+51.7+7.7</f>
        <v>643.5000000000001</v>
      </c>
      <c r="G40" s="24">
        <f>44653+385+3069</f>
        <v>48107</v>
      </c>
    </row>
    <row r="41" spans="1:7" s="16" customFormat="1" ht="12" customHeight="1">
      <c r="A41" s="52" t="s">
        <v>54</v>
      </c>
      <c r="B41" s="52" t="s">
        <v>13</v>
      </c>
      <c r="C41" s="18" t="s">
        <v>69</v>
      </c>
      <c r="D41" s="25">
        <f>418+59653+169+40036</f>
        <v>100276</v>
      </c>
      <c r="E41" s="26">
        <f>50.1+5165.6+287.2+1071.6</f>
        <v>6574.5</v>
      </c>
      <c r="F41" s="26">
        <f>35.1+2594.8+208.8+291.5</f>
        <v>3130.2000000000003</v>
      </c>
      <c r="G41" s="25">
        <f>3096+367661+9748+103470</f>
        <v>483975</v>
      </c>
    </row>
    <row r="42" spans="1:7" s="16" customFormat="1" ht="12" customHeight="1">
      <c r="A42" s="52"/>
      <c r="B42" s="52"/>
      <c r="C42" s="18" t="s">
        <v>75</v>
      </c>
      <c r="D42" s="24">
        <f>103484+19975</f>
        <v>123459</v>
      </c>
      <c r="E42" s="26">
        <v>2523.7</v>
      </c>
      <c r="F42" s="26">
        <f>1011.1+204.6</f>
        <v>1215.7</v>
      </c>
      <c r="G42" s="25">
        <f>230012+69988</f>
        <v>300000</v>
      </c>
    </row>
    <row r="43" spans="1:7" s="16" customFormat="1" ht="12" customHeight="1">
      <c r="A43" s="52"/>
      <c r="B43" s="52"/>
      <c r="C43" s="18" t="s">
        <v>47</v>
      </c>
      <c r="D43" s="24">
        <v>12324</v>
      </c>
      <c r="E43" s="23">
        <v>1355.6</v>
      </c>
      <c r="F43" s="26">
        <v>631.3</v>
      </c>
      <c r="G43" s="24">
        <v>74492</v>
      </c>
    </row>
    <row r="44" spans="1:7" s="16" customFormat="1" ht="12" customHeight="1">
      <c r="A44" s="52"/>
      <c r="B44" s="52"/>
      <c r="C44" s="18" t="s">
        <v>73</v>
      </c>
      <c r="D44" s="24">
        <v>63770</v>
      </c>
      <c r="E44" s="23">
        <f>1007.5+87.5+27.2</f>
        <v>1122.2</v>
      </c>
      <c r="F44" s="26">
        <f>502.6+591.4+4.8</f>
        <v>1098.8</v>
      </c>
      <c r="G44" s="24">
        <f>133506+4412+9422</f>
        <v>147340</v>
      </c>
    </row>
    <row r="45" spans="1:7" s="16" customFormat="1" ht="12" customHeight="1">
      <c r="A45" s="52" t="s">
        <v>55</v>
      </c>
      <c r="B45" s="52" t="s">
        <v>14</v>
      </c>
      <c r="C45" s="18" t="s">
        <v>69</v>
      </c>
      <c r="D45" s="25">
        <f>402+33003+274+40267</f>
        <v>73946</v>
      </c>
      <c r="E45" s="26">
        <f>46.8+4032.1+576.9+1576.9</f>
        <v>6232.700000000001</v>
      </c>
      <c r="F45" s="26">
        <f>23.1+2000.5+2797.4+554.3</f>
        <v>5375.3</v>
      </c>
      <c r="G45" s="25">
        <f>2725+205500+19061+119904</f>
        <v>347190</v>
      </c>
    </row>
    <row r="46" spans="1:7" s="16" customFormat="1" ht="12" customHeight="1">
      <c r="A46" s="52"/>
      <c r="B46" s="52"/>
      <c r="C46" s="18" t="s">
        <v>75</v>
      </c>
      <c r="D46" s="25">
        <f>123705+22626</f>
        <v>146331</v>
      </c>
      <c r="E46" s="26">
        <v>3194.3</v>
      </c>
      <c r="F46" s="26">
        <f>1165.2+725.5</f>
        <v>1890.7</v>
      </c>
      <c r="G46" s="25">
        <f>253992+78571</f>
        <v>332563</v>
      </c>
    </row>
    <row r="47" spans="1:7" s="16" customFormat="1" ht="12" customHeight="1">
      <c r="A47" s="52"/>
      <c r="B47" s="52"/>
      <c r="C47" s="18" t="s">
        <v>47</v>
      </c>
      <c r="D47" s="24">
        <v>15571</v>
      </c>
      <c r="E47" s="23">
        <v>3546</v>
      </c>
      <c r="F47" s="23">
        <v>3306.3</v>
      </c>
      <c r="G47" s="24">
        <v>159509</v>
      </c>
    </row>
    <row r="48" spans="1:7" s="16" customFormat="1" ht="12" customHeight="1">
      <c r="A48" s="52"/>
      <c r="B48" s="52"/>
      <c r="C48" s="18" t="s">
        <v>73</v>
      </c>
      <c r="D48" s="24">
        <v>87478</v>
      </c>
      <c r="E48" s="23">
        <f>94.1+2587.3+44</f>
        <v>2725.4</v>
      </c>
      <c r="F48" s="26">
        <f>636.1+1406.6+11.1</f>
        <v>2053.7999999999997</v>
      </c>
      <c r="G48" s="24">
        <f>249814+12554</f>
        <v>262368</v>
      </c>
    </row>
    <row r="49" spans="1:7" s="16" customFormat="1" ht="12" customHeight="1">
      <c r="A49" s="52" t="s">
        <v>56</v>
      </c>
      <c r="B49" s="52" t="s">
        <v>15</v>
      </c>
      <c r="C49" s="18" t="s">
        <v>69</v>
      </c>
      <c r="D49" s="19" t="s">
        <v>41</v>
      </c>
      <c r="E49" s="19" t="s">
        <v>41</v>
      </c>
      <c r="F49" s="19" t="s">
        <v>41</v>
      </c>
      <c r="G49" s="19" t="s">
        <v>41</v>
      </c>
    </row>
    <row r="50" spans="1:7" s="16" customFormat="1" ht="12" customHeight="1">
      <c r="A50" s="52"/>
      <c r="B50" s="52"/>
      <c r="C50" s="18" t="s">
        <v>75</v>
      </c>
      <c r="D50" s="19" t="s">
        <v>41</v>
      </c>
      <c r="E50" s="19" t="s">
        <v>41</v>
      </c>
      <c r="F50" s="19" t="s">
        <v>41</v>
      </c>
      <c r="G50" s="19" t="s">
        <v>41</v>
      </c>
    </row>
    <row r="51" spans="1:7" s="16" customFormat="1" ht="12" customHeight="1">
      <c r="A51" s="52"/>
      <c r="B51" s="52"/>
      <c r="C51" s="18" t="s">
        <v>47</v>
      </c>
      <c r="D51" s="19" t="s">
        <v>41</v>
      </c>
      <c r="E51" s="19" t="s">
        <v>41</v>
      </c>
      <c r="F51" s="19" t="s">
        <v>41</v>
      </c>
      <c r="G51" s="19" t="s">
        <v>41</v>
      </c>
    </row>
    <row r="52" spans="1:7" s="16" customFormat="1" ht="12" customHeight="1">
      <c r="A52" s="52"/>
      <c r="B52" s="52"/>
      <c r="C52" s="18" t="s">
        <v>73</v>
      </c>
      <c r="D52" s="19" t="s">
        <v>41</v>
      </c>
      <c r="E52" s="19" t="s">
        <v>41</v>
      </c>
      <c r="F52" s="19" t="s">
        <v>41</v>
      </c>
      <c r="G52" s="19" t="s">
        <v>41</v>
      </c>
    </row>
    <row r="53" spans="1:7" s="16" customFormat="1" ht="12" customHeight="1">
      <c r="A53" s="52" t="s">
        <v>16</v>
      </c>
      <c r="B53" s="52" t="s">
        <v>17</v>
      </c>
      <c r="C53" s="18" t="s">
        <v>69</v>
      </c>
      <c r="D53" s="24">
        <v>9148</v>
      </c>
      <c r="E53" s="26">
        <f>16.2+4145.4+149.1</f>
        <v>4310.7</v>
      </c>
      <c r="F53" s="26">
        <f>17.4+1314.6+392.7</f>
        <v>1724.7</v>
      </c>
      <c r="G53" s="25">
        <f>861+146899+4940</f>
        <v>152700</v>
      </c>
    </row>
    <row r="54" spans="1:7" s="16" customFormat="1" ht="12" customHeight="1">
      <c r="A54" s="52"/>
      <c r="B54" s="52"/>
      <c r="C54" s="18" t="s">
        <v>75</v>
      </c>
      <c r="D54" s="24">
        <f>18771+3104</f>
        <v>21875</v>
      </c>
      <c r="E54" s="26">
        <f>1544+190.2</f>
        <v>1734.2</v>
      </c>
      <c r="F54" s="21" t="s">
        <v>41</v>
      </c>
      <c r="G54" s="25">
        <v>88830</v>
      </c>
    </row>
    <row r="55" spans="1:7" s="16" customFormat="1" ht="12" customHeight="1">
      <c r="A55" s="52"/>
      <c r="B55" s="52"/>
      <c r="C55" s="18" t="s">
        <v>47</v>
      </c>
      <c r="D55" s="24">
        <v>5078</v>
      </c>
      <c r="E55" s="23">
        <v>826.5</v>
      </c>
      <c r="F55" s="21" t="s">
        <v>41</v>
      </c>
      <c r="G55" s="24">
        <v>36049</v>
      </c>
    </row>
    <row r="56" spans="1:7" s="16" customFormat="1" ht="12" customHeight="1">
      <c r="A56" s="52"/>
      <c r="B56" s="52"/>
      <c r="C56" s="18" t="s">
        <v>73</v>
      </c>
      <c r="D56" s="24">
        <v>22494</v>
      </c>
      <c r="E56" s="23">
        <v>1516.6</v>
      </c>
      <c r="F56" s="21" t="s">
        <v>41</v>
      </c>
      <c r="G56" s="24">
        <v>68802</v>
      </c>
    </row>
    <row r="57" spans="1:7" s="16" customFormat="1" ht="12" customHeight="1">
      <c r="A57" s="52" t="s">
        <v>18</v>
      </c>
      <c r="B57" s="52" t="s">
        <v>19</v>
      </c>
      <c r="C57" s="18" t="s">
        <v>76</v>
      </c>
      <c r="D57" s="25">
        <f>68+7803+232</f>
        <v>8103</v>
      </c>
      <c r="E57" s="26">
        <f>12.5+3257.6+102.5</f>
        <v>3372.6</v>
      </c>
      <c r="F57" s="26">
        <f>14.9+991.8+182.7</f>
        <v>1189.3999999999999</v>
      </c>
      <c r="G57" s="25">
        <f>495+116232+3167</f>
        <v>119894</v>
      </c>
    </row>
    <row r="58" spans="1:7" s="16" customFormat="1" ht="12" customHeight="1">
      <c r="A58" s="52"/>
      <c r="B58" s="52"/>
      <c r="C58" s="18" t="s">
        <v>75</v>
      </c>
      <c r="D58" s="25">
        <f>20701+3220</f>
        <v>23921</v>
      </c>
      <c r="E58" s="26">
        <f>1667.7+171.3</f>
        <v>1839</v>
      </c>
      <c r="F58" s="21" t="s">
        <v>41</v>
      </c>
      <c r="G58" s="25">
        <f>79001+12630</f>
        <v>91631</v>
      </c>
    </row>
    <row r="59" spans="1:7" s="16" customFormat="1" ht="12" customHeight="1">
      <c r="A59" s="52"/>
      <c r="B59" s="52"/>
      <c r="C59" s="18" t="s">
        <v>47</v>
      </c>
      <c r="D59" s="24">
        <v>5299</v>
      </c>
      <c r="E59" s="23">
        <v>958.9</v>
      </c>
      <c r="F59" s="21" t="s">
        <v>41</v>
      </c>
      <c r="G59" s="24">
        <v>39397</v>
      </c>
    </row>
    <row r="60" spans="1:7" s="16" customFormat="1" ht="12" customHeight="1">
      <c r="A60" s="52"/>
      <c r="B60" s="52"/>
      <c r="C60" s="18" t="s">
        <v>73</v>
      </c>
      <c r="D60" s="24">
        <v>23293</v>
      </c>
      <c r="E60" s="23">
        <v>1496.3</v>
      </c>
      <c r="F60" s="21" t="s">
        <v>41</v>
      </c>
      <c r="G60" s="24">
        <v>67680</v>
      </c>
    </row>
    <row r="61" spans="1:7" s="16" customFormat="1" ht="14.25" customHeight="1">
      <c r="A61" s="54" t="s">
        <v>20</v>
      </c>
      <c r="B61" s="52" t="s">
        <v>21</v>
      </c>
      <c r="C61" s="18" t="s">
        <v>76</v>
      </c>
      <c r="D61" s="24">
        <f>85+5307+358</f>
        <v>5750</v>
      </c>
      <c r="E61" s="26">
        <f>17.3+2266.5+63.9</f>
        <v>2347.7000000000003</v>
      </c>
      <c r="F61" s="26">
        <f>10.3+1234.7+338.5</f>
        <v>1583.5</v>
      </c>
      <c r="G61" s="36">
        <f>869+83782+2198</f>
        <v>86849</v>
      </c>
    </row>
    <row r="62" spans="1:7" s="16" customFormat="1" ht="14.25" customHeight="1">
      <c r="A62" s="54"/>
      <c r="B62" s="52"/>
      <c r="C62" s="18" t="s">
        <v>75</v>
      </c>
      <c r="D62" s="25">
        <f>11411+2045</f>
        <v>13456</v>
      </c>
      <c r="E62" s="26">
        <v>0.1</v>
      </c>
      <c r="F62" s="21" t="s">
        <v>41</v>
      </c>
      <c r="G62" s="36">
        <f>41747+9022</f>
        <v>50769</v>
      </c>
    </row>
    <row r="63" spans="1:7" s="16" customFormat="1" ht="14.25" customHeight="1">
      <c r="A63" s="54"/>
      <c r="B63" s="52"/>
      <c r="C63" s="18" t="s">
        <v>47</v>
      </c>
      <c r="D63" s="24">
        <v>3422</v>
      </c>
      <c r="E63" s="23">
        <v>488.3</v>
      </c>
      <c r="F63" s="21" t="s">
        <v>41</v>
      </c>
      <c r="G63" s="35">
        <v>21415</v>
      </c>
    </row>
    <row r="64" spans="1:7" s="16" customFormat="1" ht="14.25" customHeight="1">
      <c r="A64" s="54"/>
      <c r="B64" s="52"/>
      <c r="C64" s="18" t="s">
        <v>73</v>
      </c>
      <c r="D64" s="24">
        <v>11210</v>
      </c>
      <c r="E64" s="23">
        <v>679.7</v>
      </c>
      <c r="F64" s="21" t="s">
        <v>41</v>
      </c>
      <c r="G64" s="35">
        <v>31976</v>
      </c>
    </row>
    <row r="65" spans="1:7" s="16" customFormat="1" ht="14.25" customHeight="1">
      <c r="A65" s="54" t="s">
        <v>22</v>
      </c>
      <c r="B65" s="52" t="s">
        <v>23</v>
      </c>
      <c r="C65" s="18" t="s">
        <v>76</v>
      </c>
      <c r="D65" s="25">
        <f>52+2544+214</f>
        <v>2810</v>
      </c>
      <c r="E65" s="26">
        <f>6.5+681.2+73.2</f>
        <v>760.9000000000001</v>
      </c>
      <c r="F65" s="26">
        <f>5.6+437.4+289.6</f>
        <v>732.6</v>
      </c>
      <c r="G65" s="36">
        <f>259+27924+2527</f>
        <v>30710</v>
      </c>
    </row>
    <row r="66" spans="1:7" s="16" customFormat="1" ht="14.25" customHeight="1">
      <c r="A66" s="54"/>
      <c r="B66" s="52"/>
      <c r="C66" s="18" t="s">
        <v>75</v>
      </c>
      <c r="D66" s="24">
        <f>5128+1142</f>
        <v>6270</v>
      </c>
      <c r="E66" s="26">
        <f>361.9+61.1</f>
        <v>423</v>
      </c>
      <c r="F66" s="21" t="s">
        <v>41</v>
      </c>
      <c r="G66" s="36">
        <f>19251+4533</f>
        <v>23784</v>
      </c>
    </row>
    <row r="67" spans="1:7" s="16" customFormat="1" ht="14.25" customHeight="1">
      <c r="A67" s="54"/>
      <c r="B67" s="52"/>
      <c r="C67" s="18" t="s">
        <v>47</v>
      </c>
      <c r="D67" s="24">
        <v>1984</v>
      </c>
      <c r="E67" s="23">
        <v>328.7</v>
      </c>
      <c r="F67" s="21" t="s">
        <v>41</v>
      </c>
      <c r="G67" s="35">
        <v>13150</v>
      </c>
    </row>
    <row r="68" spans="1:7" s="16" customFormat="1" ht="14.25" customHeight="1">
      <c r="A68" s="54"/>
      <c r="B68" s="52"/>
      <c r="C68" s="18" t="s">
        <v>73</v>
      </c>
      <c r="D68" s="24">
        <v>5241</v>
      </c>
      <c r="E68" s="23">
        <v>364.8</v>
      </c>
      <c r="F68" s="21" t="s">
        <v>41</v>
      </c>
      <c r="G68" s="35">
        <v>16388</v>
      </c>
    </row>
    <row r="69" spans="1:7" s="16" customFormat="1" ht="14.25" customHeight="1">
      <c r="A69" s="54" t="s">
        <v>24</v>
      </c>
      <c r="B69" s="52" t="s">
        <v>25</v>
      </c>
      <c r="C69" s="18" t="s">
        <v>76</v>
      </c>
      <c r="D69" s="25">
        <f>67+2995+142</f>
        <v>3204</v>
      </c>
      <c r="E69" s="26">
        <f>134.4+830.3+60.5</f>
        <v>1025.1999999999998</v>
      </c>
      <c r="F69" s="21">
        <f>409.2+419.1+236.5</f>
        <v>1064.8</v>
      </c>
      <c r="G69" s="36">
        <f>4575+34525+1991</f>
        <v>41091</v>
      </c>
    </row>
    <row r="70" spans="1:7" s="16" customFormat="1" ht="14.25" customHeight="1">
      <c r="A70" s="54"/>
      <c r="B70" s="52"/>
      <c r="C70" s="18" t="s">
        <v>75</v>
      </c>
      <c r="D70" s="25">
        <f>6147+1091</f>
        <v>7238</v>
      </c>
      <c r="E70" s="26">
        <f>439.6+83.2</f>
        <v>522.8000000000001</v>
      </c>
      <c r="F70" s="21" t="s">
        <v>41</v>
      </c>
      <c r="G70" s="36">
        <f>23418+5669</f>
        <v>29087</v>
      </c>
    </row>
    <row r="71" spans="1:7" s="16" customFormat="1" ht="14.25" customHeight="1">
      <c r="A71" s="54"/>
      <c r="B71" s="52"/>
      <c r="C71" s="18" t="s">
        <v>47</v>
      </c>
      <c r="D71" s="24">
        <v>2707</v>
      </c>
      <c r="E71" s="23">
        <v>404.9</v>
      </c>
      <c r="F71" s="21" t="s">
        <v>41</v>
      </c>
      <c r="G71" s="35">
        <v>17225</v>
      </c>
    </row>
    <row r="72" spans="1:7" s="16" customFormat="1" ht="14.25" customHeight="1">
      <c r="A72" s="54"/>
      <c r="B72" s="52"/>
      <c r="C72" s="18" t="s">
        <v>73</v>
      </c>
      <c r="D72" s="24">
        <v>6597</v>
      </c>
      <c r="E72" s="23">
        <v>413.2</v>
      </c>
      <c r="F72" s="21" t="s">
        <v>41</v>
      </c>
      <c r="G72" s="35">
        <v>18949</v>
      </c>
    </row>
    <row r="73" spans="1:7" s="16" customFormat="1" ht="14.25" customHeight="1">
      <c r="A73" s="54" t="s">
        <v>26</v>
      </c>
      <c r="B73" s="52" t="s">
        <v>27</v>
      </c>
      <c r="C73" s="18" t="s">
        <v>76</v>
      </c>
      <c r="D73" s="19">
        <f>123+11722+348</f>
        <v>12193</v>
      </c>
      <c r="E73" s="21">
        <f>12.1+5075+161.4</f>
        <v>5248.5</v>
      </c>
      <c r="F73" s="21">
        <f>7.9+1705.1+232.3</f>
        <v>1945.3</v>
      </c>
      <c r="G73" s="40">
        <f>553+181884+4940</f>
        <v>187377</v>
      </c>
    </row>
    <row r="74" spans="1:7" s="16" customFormat="1" ht="14.25" customHeight="1">
      <c r="A74" s="54"/>
      <c r="B74" s="52"/>
      <c r="C74" s="18" t="s">
        <v>75</v>
      </c>
      <c r="D74" s="19">
        <f>27817+4177</f>
        <v>31994</v>
      </c>
      <c r="E74" s="21">
        <f>2445.5+295.5</f>
        <v>2741</v>
      </c>
      <c r="F74" s="21" t="s">
        <v>41</v>
      </c>
      <c r="G74" s="40">
        <f>113332+21001</f>
        <v>134333</v>
      </c>
    </row>
    <row r="75" spans="1:7" s="16" customFormat="1" ht="14.25" customHeight="1">
      <c r="A75" s="54"/>
      <c r="B75" s="52"/>
      <c r="C75" s="18" t="s">
        <v>47</v>
      </c>
      <c r="D75" s="24">
        <v>7336</v>
      </c>
      <c r="E75" s="23">
        <v>1480.9</v>
      </c>
      <c r="F75" s="21" t="s">
        <v>41</v>
      </c>
      <c r="G75" s="35">
        <v>59635</v>
      </c>
    </row>
    <row r="76" spans="1:7" s="16" customFormat="1" ht="14.25" customHeight="1">
      <c r="A76" s="54"/>
      <c r="B76" s="52"/>
      <c r="C76" s="18" t="s">
        <v>73</v>
      </c>
      <c r="D76" s="24">
        <v>32764</v>
      </c>
      <c r="E76" s="23">
        <v>2213</v>
      </c>
      <c r="F76" s="21" t="s">
        <v>41</v>
      </c>
      <c r="G76" s="35">
        <v>96550</v>
      </c>
    </row>
    <row r="77" spans="2:7" s="16" customFormat="1" ht="14.25" customHeight="1">
      <c r="B77" s="17"/>
      <c r="C77" s="18"/>
      <c r="D77" s="24"/>
      <c r="E77" s="23"/>
      <c r="F77" s="21"/>
      <c r="G77" s="35"/>
    </row>
    <row r="78" spans="1:7" s="3" customFormat="1" ht="15.75" customHeight="1">
      <c r="A78" s="2" t="s">
        <v>67</v>
      </c>
      <c r="B78" s="2"/>
      <c r="C78" s="2"/>
      <c r="D78" s="45"/>
      <c r="E78" s="46"/>
      <c r="F78" s="46"/>
      <c r="G78" s="45"/>
    </row>
    <row r="80" spans="1:7" s="5" customFormat="1" ht="43.5" customHeight="1">
      <c r="A80" s="7" t="s">
        <v>50</v>
      </c>
      <c r="B80" s="8" t="s">
        <v>38</v>
      </c>
      <c r="C80" s="9" t="s">
        <v>46</v>
      </c>
      <c r="D80" s="10" t="s">
        <v>42</v>
      </c>
      <c r="E80" s="11" t="s">
        <v>43</v>
      </c>
      <c r="F80" s="11" t="s">
        <v>44</v>
      </c>
      <c r="G80" s="10" t="s">
        <v>45</v>
      </c>
    </row>
    <row r="81" spans="4:7" s="5" customFormat="1" ht="9" customHeight="1">
      <c r="D81" s="38"/>
      <c r="E81" s="39"/>
      <c r="F81" s="39"/>
      <c r="G81" s="38"/>
    </row>
    <row r="82" spans="1:7" s="16" customFormat="1" ht="12" customHeight="1">
      <c r="A82" s="54" t="s">
        <v>28</v>
      </c>
      <c r="B82" s="52" t="s">
        <v>77</v>
      </c>
      <c r="C82" s="18" t="s">
        <v>69</v>
      </c>
      <c r="D82" s="19">
        <f>65+2478+26+2359</f>
        <v>4928</v>
      </c>
      <c r="E82" s="21">
        <f>54.5+2516+213+743.4</f>
        <v>3526.9</v>
      </c>
      <c r="F82" s="21">
        <f>30.6+605.4+540.7+62.4</f>
        <v>1239.1000000000001</v>
      </c>
      <c r="G82" s="19">
        <v>131388</v>
      </c>
    </row>
    <row r="83" spans="1:7" s="16" customFormat="1" ht="12" customHeight="1">
      <c r="A83" s="54"/>
      <c r="B83" s="52"/>
      <c r="C83" s="18" t="s">
        <v>75</v>
      </c>
      <c r="D83" s="19">
        <f>7463+2735</f>
        <v>10198</v>
      </c>
      <c r="E83" s="21">
        <f>913.3+199</f>
        <v>1112.3</v>
      </c>
      <c r="F83" s="21">
        <f>235.6+56.8</f>
        <v>292.4</v>
      </c>
      <c r="G83" s="19">
        <f>50305+30406</f>
        <v>80711</v>
      </c>
    </row>
    <row r="84" spans="1:7" s="16" customFormat="1" ht="12" customHeight="1">
      <c r="A84" s="54"/>
      <c r="B84" s="52"/>
      <c r="C84" s="18" t="s">
        <v>47</v>
      </c>
      <c r="D84" s="19">
        <v>1494</v>
      </c>
      <c r="E84" s="21">
        <v>590.5</v>
      </c>
      <c r="F84" s="21">
        <v>648.7</v>
      </c>
      <c r="G84" s="19">
        <v>21864</v>
      </c>
    </row>
    <row r="85" spans="1:7" s="16" customFormat="1" ht="12" customHeight="1">
      <c r="A85" s="54"/>
      <c r="B85" s="52"/>
      <c r="C85" s="18" t="s">
        <v>73</v>
      </c>
      <c r="D85" s="19">
        <v>5323</v>
      </c>
      <c r="E85" s="21">
        <v>853.6</v>
      </c>
      <c r="F85" s="21">
        <v>325.2</v>
      </c>
      <c r="G85" s="19">
        <f>53938+135</f>
        <v>54073</v>
      </c>
    </row>
    <row r="86" spans="1:7" s="5" customFormat="1" ht="12" customHeight="1">
      <c r="A86" s="54" t="s">
        <v>29</v>
      </c>
      <c r="B86" s="52" t="s">
        <v>78</v>
      </c>
      <c r="C86" s="18" t="s">
        <v>69</v>
      </c>
      <c r="D86" s="19">
        <f>69+2997+46+2892</f>
        <v>6004</v>
      </c>
      <c r="E86" s="21">
        <f>84.4+2772.2+135.1+619.2</f>
        <v>3610.8999999999996</v>
      </c>
      <c r="F86" s="21">
        <f>14.3+698.5+205.3+102.2</f>
        <v>1020.3</v>
      </c>
      <c r="G86" s="19">
        <f>75+137133+1218+31815</f>
        <v>170241</v>
      </c>
    </row>
    <row r="87" spans="1:7" s="5" customFormat="1" ht="12" customHeight="1">
      <c r="A87" s="54"/>
      <c r="B87" s="52"/>
      <c r="C87" s="18" t="s">
        <v>75</v>
      </c>
      <c r="D87" s="19">
        <f>9843+3345</f>
        <v>13188</v>
      </c>
      <c r="E87" s="21">
        <f>1636.7+316.4</f>
        <v>1953.1</v>
      </c>
      <c r="F87" s="21">
        <f>449.8+120.2</f>
        <v>570</v>
      </c>
      <c r="G87" s="19">
        <f>75749+43436</f>
        <v>119185</v>
      </c>
    </row>
    <row r="88" spans="1:7" s="5" customFormat="1" ht="12" customHeight="1">
      <c r="A88" s="54"/>
      <c r="B88" s="52"/>
      <c r="C88" s="18" t="s">
        <v>47</v>
      </c>
      <c r="D88" s="19">
        <v>1655</v>
      </c>
      <c r="E88" s="21">
        <v>768.8</v>
      </c>
      <c r="F88" s="21">
        <v>871.8</v>
      </c>
      <c r="G88" s="19">
        <v>17530</v>
      </c>
    </row>
    <row r="89" spans="1:7" s="5" customFormat="1" ht="12" customHeight="1">
      <c r="A89" s="54"/>
      <c r="B89" s="52"/>
      <c r="C89" s="18" t="s">
        <v>73</v>
      </c>
      <c r="D89" s="19">
        <v>7468</v>
      </c>
      <c r="E89" s="21">
        <v>1696</v>
      </c>
      <c r="F89" s="21">
        <v>911.4</v>
      </c>
      <c r="G89" s="19">
        <f>1720+73618</f>
        <v>75338</v>
      </c>
    </row>
    <row r="90" spans="1:7" s="5" customFormat="1" ht="12" customHeight="1">
      <c r="A90" s="54" t="s">
        <v>30</v>
      </c>
      <c r="B90" s="52" t="s">
        <v>79</v>
      </c>
      <c r="C90" s="18" t="s">
        <v>69</v>
      </c>
      <c r="D90" s="19">
        <f>52+2670+37+2763</f>
        <v>5522</v>
      </c>
      <c r="E90" s="21">
        <f>23.6+2561.9+55.2+449</f>
        <v>3089.7</v>
      </c>
      <c r="F90" s="21">
        <f>33.2+933.8+85.8+57.3</f>
        <v>1110.1</v>
      </c>
      <c r="G90" s="19">
        <v>128907</v>
      </c>
    </row>
    <row r="91" spans="1:7" s="5" customFormat="1" ht="12" customHeight="1">
      <c r="A91" s="54"/>
      <c r="B91" s="52"/>
      <c r="C91" s="18" t="s">
        <v>75</v>
      </c>
      <c r="D91" s="19">
        <f>7692+1996</f>
        <v>9688</v>
      </c>
      <c r="E91" s="21">
        <f>963.9+147.5</f>
        <v>1111.4</v>
      </c>
      <c r="F91" s="21">
        <f>288.7+78.8</f>
        <v>367.5</v>
      </c>
      <c r="G91" s="19">
        <f>65659+22431</f>
        <v>88090</v>
      </c>
    </row>
    <row r="92" spans="1:7" s="5" customFormat="1" ht="12" customHeight="1">
      <c r="A92" s="54"/>
      <c r="B92" s="52"/>
      <c r="C92" s="18" t="s">
        <v>47</v>
      </c>
      <c r="D92" s="19">
        <v>2005</v>
      </c>
      <c r="E92" s="21">
        <v>619.8</v>
      </c>
      <c r="F92" s="21">
        <v>530</v>
      </c>
      <c r="G92" s="19">
        <v>26187</v>
      </c>
    </row>
    <row r="93" spans="1:7" s="5" customFormat="1" ht="12" customHeight="1">
      <c r="A93" s="54"/>
      <c r="B93" s="52"/>
      <c r="C93" s="18" t="s">
        <v>73</v>
      </c>
      <c r="D93" s="19">
        <v>4947</v>
      </c>
      <c r="E93" s="21">
        <v>682.2</v>
      </c>
      <c r="F93" s="21">
        <v>364.8</v>
      </c>
      <c r="G93" s="19">
        <f>43514+1550</f>
        <v>45064</v>
      </c>
    </row>
    <row r="94" spans="1:7" s="5" customFormat="1" ht="12" customHeight="1">
      <c r="A94" s="54" t="s">
        <v>31</v>
      </c>
      <c r="B94" s="52" t="s">
        <v>80</v>
      </c>
      <c r="C94" s="18" t="s">
        <v>81</v>
      </c>
      <c r="D94" s="19">
        <f>126+4260+39+5361</f>
        <v>9786</v>
      </c>
      <c r="E94" s="21">
        <v>2761.1</v>
      </c>
      <c r="F94" s="5">
        <f>82.3+348.5+97.1</f>
        <v>527.9</v>
      </c>
      <c r="G94" s="19">
        <v>159052</v>
      </c>
    </row>
    <row r="95" spans="1:7" s="5" customFormat="1" ht="12" customHeight="1">
      <c r="A95" s="54"/>
      <c r="B95" s="52"/>
      <c r="C95" s="18" t="s">
        <v>75</v>
      </c>
      <c r="D95" s="19">
        <f>11762+3779</f>
        <v>15541</v>
      </c>
      <c r="E95" s="21">
        <f>1463.2+388</f>
        <v>1851.2</v>
      </c>
      <c r="F95" s="21">
        <f>523+164.6</f>
        <v>687.6</v>
      </c>
      <c r="G95" s="19">
        <f>97375+59334</f>
        <v>156709</v>
      </c>
    </row>
    <row r="96" spans="1:7" s="5" customFormat="1" ht="12" customHeight="1">
      <c r="A96" s="54"/>
      <c r="B96" s="52"/>
      <c r="C96" s="18" t="s">
        <v>47</v>
      </c>
      <c r="D96" s="19">
        <v>2016</v>
      </c>
      <c r="E96" s="21">
        <v>576.4</v>
      </c>
      <c r="F96" s="21">
        <v>234.6</v>
      </c>
      <c r="G96" s="19">
        <v>19388</v>
      </c>
    </row>
    <row r="97" spans="1:7" s="5" customFormat="1" ht="12" customHeight="1">
      <c r="A97" s="54"/>
      <c r="B97" s="52"/>
      <c r="C97" s="18" t="s">
        <v>73</v>
      </c>
      <c r="D97" s="19">
        <v>11076</v>
      </c>
      <c r="E97" s="21">
        <v>1194</v>
      </c>
      <c r="F97" s="21">
        <v>1018.8</v>
      </c>
      <c r="G97" s="19">
        <f>83970+1875+1095</f>
        <v>86940</v>
      </c>
    </row>
    <row r="98" spans="1:7" s="41" customFormat="1" ht="12" customHeight="1">
      <c r="A98" s="54" t="s">
        <v>32</v>
      </c>
      <c r="B98" s="52" t="s">
        <v>82</v>
      </c>
      <c r="C98" s="18" t="s">
        <v>81</v>
      </c>
      <c r="D98" s="19">
        <f>88+1432+13+2059</f>
        <v>3592</v>
      </c>
      <c r="E98" s="21">
        <f>62.8+440.5+262.9</f>
        <v>766.2</v>
      </c>
      <c r="F98" s="21">
        <f>35.6+172.1+204</f>
        <v>411.7</v>
      </c>
      <c r="G98" s="19">
        <f>189+25505+22949</f>
        <v>48643</v>
      </c>
    </row>
    <row r="99" spans="1:7" s="41" customFormat="1" ht="12" customHeight="1">
      <c r="A99" s="54"/>
      <c r="B99" s="52"/>
      <c r="C99" s="18" t="s">
        <v>75</v>
      </c>
      <c r="D99" s="19">
        <f>5048+2127</f>
        <v>7175</v>
      </c>
      <c r="E99" s="21">
        <f>443.5+168.4</f>
        <v>611.9</v>
      </c>
      <c r="F99" s="21">
        <f>165.8+88.7</f>
        <v>254.5</v>
      </c>
      <c r="G99" s="19">
        <f>43183+29591</f>
        <v>72774</v>
      </c>
    </row>
    <row r="100" spans="1:7" s="41" customFormat="1" ht="12" customHeight="1">
      <c r="A100" s="54"/>
      <c r="B100" s="52"/>
      <c r="C100" s="18" t="s">
        <v>47</v>
      </c>
      <c r="D100" s="19">
        <v>831</v>
      </c>
      <c r="E100" s="21">
        <v>121.3</v>
      </c>
      <c r="F100" s="21">
        <v>56.2</v>
      </c>
      <c r="G100" s="19">
        <v>4336</v>
      </c>
    </row>
    <row r="101" spans="1:7" s="41" customFormat="1" ht="12" customHeight="1">
      <c r="A101" s="54"/>
      <c r="B101" s="52"/>
      <c r="C101" s="18" t="s">
        <v>73</v>
      </c>
      <c r="D101" s="19">
        <v>2837</v>
      </c>
      <c r="E101" s="21">
        <v>146</v>
      </c>
      <c r="F101" s="21">
        <v>136.8</v>
      </c>
      <c r="G101" s="19">
        <v>21706</v>
      </c>
    </row>
    <row r="102" spans="1:7" s="5" customFormat="1" ht="12" customHeight="1">
      <c r="A102" s="54" t="s">
        <v>33</v>
      </c>
      <c r="B102" s="52" t="s">
        <v>83</v>
      </c>
      <c r="C102" s="18" t="s">
        <v>81</v>
      </c>
      <c r="D102" s="19">
        <f>70+3024+24+4036</f>
        <v>7154</v>
      </c>
      <c r="E102" s="21">
        <f>41.1+1642.6+481.9</f>
        <v>2165.6</v>
      </c>
      <c r="F102" s="21">
        <f>17.6+347.9+159.6+110.9</f>
        <v>636</v>
      </c>
      <c r="G102" s="19">
        <f>103+79404+715+39642</f>
        <v>119864</v>
      </c>
    </row>
    <row r="103" spans="1:7" s="5" customFormat="1" ht="12" customHeight="1">
      <c r="A103" s="54"/>
      <c r="B103" s="52"/>
      <c r="C103" s="18" t="s">
        <v>75</v>
      </c>
      <c r="D103" s="19">
        <f>10153+3647</f>
        <v>13800</v>
      </c>
      <c r="E103" s="21">
        <f>1021.2+327.3</f>
        <v>1348.5</v>
      </c>
      <c r="F103" s="21">
        <f>273.4+176.5</f>
        <v>449.9</v>
      </c>
      <c r="G103" s="19">
        <f>91016+57948</f>
        <v>148964</v>
      </c>
    </row>
    <row r="104" spans="1:7" s="5" customFormat="1" ht="12" customHeight="1">
      <c r="A104" s="54"/>
      <c r="B104" s="52"/>
      <c r="C104" s="18" t="s">
        <v>47</v>
      </c>
      <c r="D104" s="19">
        <v>1625</v>
      </c>
      <c r="E104" s="21">
        <v>433</v>
      </c>
      <c r="F104" s="21">
        <v>272.7</v>
      </c>
      <c r="G104" s="19">
        <v>13870</v>
      </c>
    </row>
    <row r="105" spans="1:7" s="5" customFormat="1" ht="12" customHeight="1">
      <c r="A105" s="54"/>
      <c r="B105" s="52"/>
      <c r="C105" s="18" t="s">
        <v>73</v>
      </c>
      <c r="D105" s="19">
        <v>7267</v>
      </c>
      <c r="E105" s="21">
        <v>674.9</v>
      </c>
      <c r="F105" s="21">
        <v>257.7</v>
      </c>
      <c r="G105" s="19">
        <f>57044+80+420</f>
        <v>57544</v>
      </c>
    </row>
    <row r="106" spans="1:7" s="5" customFormat="1" ht="12" customHeight="1">
      <c r="A106" s="54" t="s">
        <v>34</v>
      </c>
      <c r="B106" s="52" t="s">
        <v>84</v>
      </c>
      <c r="C106" s="18" t="s">
        <v>69</v>
      </c>
      <c r="D106" s="19">
        <f>149+4081+98+5661</f>
        <v>9989</v>
      </c>
      <c r="E106" s="21">
        <f>100.6+3495.3+152.1+570.4</f>
        <v>4318.4</v>
      </c>
      <c r="F106" s="21">
        <f>17.5+769.3+152.7+55.5</f>
        <v>995</v>
      </c>
      <c r="G106" s="19">
        <f>2049+173396+2420+51527</f>
        <v>229392</v>
      </c>
    </row>
    <row r="107" spans="1:7" s="5" customFormat="1" ht="12" customHeight="1">
      <c r="A107" s="54"/>
      <c r="B107" s="52"/>
      <c r="C107" s="18" t="s">
        <v>75</v>
      </c>
      <c r="D107" s="19">
        <f>14496+5439</f>
        <v>19935</v>
      </c>
      <c r="E107" s="21">
        <f>1408.5+313.9</f>
        <v>1722.4</v>
      </c>
      <c r="F107" s="21">
        <f>469.1+105.3</f>
        <v>574.4</v>
      </c>
      <c r="G107" s="19">
        <f>113793+66489</f>
        <v>180282</v>
      </c>
    </row>
    <row r="108" spans="1:7" s="5" customFormat="1" ht="12" customHeight="1">
      <c r="A108" s="54"/>
      <c r="B108" s="52"/>
      <c r="C108" s="18" t="s">
        <v>47</v>
      </c>
      <c r="D108" s="19">
        <v>2601</v>
      </c>
      <c r="E108" s="21">
        <v>547.7</v>
      </c>
      <c r="F108" s="21">
        <v>244.6</v>
      </c>
      <c r="G108" s="19">
        <v>22418</v>
      </c>
    </row>
    <row r="109" spans="1:7" s="5" customFormat="1" ht="12" customHeight="1">
      <c r="A109" s="54"/>
      <c r="B109" s="52"/>
      <c r="C109" s="18" t="s">
        <v>73</v>
      </c>
      <c r="D109" s="19">
        <v>7689</v>
      </c>
      <c r="E109" s="21">
        <v>792.6</v>
      </c>
      <c r="F109" s="21">
        <v>340.5</v>
      </c>
      <c r="G109" s="19">
        <f>130+93774+200</f>
        <v>94104</v>
      </c>
    </row>
    <row r="110" spans="1:7" s="5" customFormat="1" ht="12" customHeight="1">
      <c r="A110" s="54" t="s">
        <v>35</v>
      </c>
      <c r="B110" s="52" t="s">
        <v>85</v>
      </c>
      <c r="C110" s="18" t="s">
        <v>69</v>
      </c>
      <c r="D110" s="19">
        <f>166+3913+166+5296</f>
        <v>9541</v>
      </c>
      <c r="E110" s="21">
        <f>116.4+3880.4+297.4+1091.1</f>
        <v>5385.299999999999</v>
      </c>
      <c r="F110" s="21">
        <f>92.5+1593.9+546.2+146.4</f>
        <v>2379.0000000000005</v>
      </c>
      <c r="G110" s="19">
        <f>1294+158044+1583+68878</f>
        <v>229799</v>
      </c>
    </row>
    <row r="111" spans="1:7" s="5" customFormat="1" ht="12" customHeight="1">
      <c r="A111" s="54"/>
      <c r="B111" s="52"/>
      <c r="C111" s="18" t="s">
        <v>75</v>
      </c>
      <c r="D111" s="19">
        <f>14913+5536</f>
        <v>20449</v>
      </c>
      <c r="E111" s="21">
        <f>2262.8+660.2</f>
        <v>2923</v>
      </c>
      <c r="F111" s="21">
        <f>728.2+271.9</f>
        <v>1000.1</v>
      </c>
      <c r="G111" s="19">
        <f>112606+86623</f>
        <v>199229</v>
      </c>
    </row>
    <row r="112" spans="1:7" s="5" customFormat="1" ht="12" customHeight="1">
      <c r="A112" s="54"/>
      <c r="B112" s="52"/>
      <c r="C112" s="18" t="s">
        <v>47</v>
      </c>
      <c r="D112" s="19">
        <v>2536</v>
      </c>
      <c r="E112" s="21">
        <v>1021.9</v>
      </c>
      <c r="F112" s="21">
        <v>661.7</v>
      </c>
      <c r="G112" s="19">
        <v>24569</v>
      </c>
    </row>
    <row r="113" spans="1:7" s="5" customFormat="1" ht="12" customHeight="1">
      <c r="A113" s="54"/>
      <c r="B113" s="52"/>
      <c r="C113" s="18" t="s">
        <v>73</v>
      </c>
      <c r="D113" s="19">
        <v>12613</v>
      </c>
      <c r="E113" s="21">
        <v>2211.1</v>
      </c>
      <c r="F113" s="21">
        <v>1295.7</v>
      </c>
      <c r="G113" s="19">
        <f>122965+37665+1265</f>
        <v>161895</v>
      </c>
    </row>
    <row r="114" spans="1:7" s="5" customFormat="1" ht="12" customHeight="1">
      <c r="A114" s="54" t="s">
        <v>36</v>
      </c>
      <c r="B114" s="52" t="s">
        <v>86</v>
      </c>
      <c r="C114" s="18" t="s">
        <v>81</v>
      </c>
      <c r="D114" s="19">
        <f>162+4550+180+5492</f>
        <v>10384</v>
      </c>
      <c r="E114" s="21">
        <f>104+4180.7+286.9+1616.9</f>
        <v>6188.5</v>
      </c>
      <c r="F114" s="21">
        <f>34.1+1112.9+413.7+145.4</f>
        <v>1706.1000000000001</v>
      </c>
      <c r="G114" s="19">
        <f>1590+166642+71026</f>
        <v>239258</v>
      </c>
    </row>
    <row r="115" spans="1:7" s="5" customFormat="1" ht="12" customHeight="1">
      <c r="A115" s="54"/>
      <c r="B115" s="52"/>
      <c r="C115" s="18" t="s">
        <v>75</v>
      </c>
      <c r="D115" s="19">
        <f>16961+5280</f>
        <v>22241</v>
      </c>
      <c r="E115" s="21">
        <f>2468.9+579.8</f>
        <v>3048.7</v>
      </c>
      <c r="F115" s="21">
        <f>733.3+258.8</f>
        <v>992.0999999999999</v>
      </c>
      <c r="G115" s="19">
        <f>114760+100032</f>
        <v>214792</v>
      </c>
    </row>
    <row r="116" spans="1:7" s="5" customFormat="1" ht="12" customHeight="1">
      <c r="A116" s="54"/>
      <c r="B116" s="52"/>
      <c r="C116" s="18" t="s">
        <v>47</v>
      </c>
      <c r="D116" s="19">
        <v>3078</v>
      </c>
      <c r="E116" s="21">
        <v>1763</v>
      </c>
      <c r="F116" s="21">
        <v>1164.6</v>
      </c>
      <c r="G116" s="19">
        <v>41678</v>
      </c>
    </row>
    <row r="117" spans="1:7" s="5" customFormat="1" ht="12" customHeight="1">
      <c r="A117" s="54"/>
      <c r="B117" s="52"/>
      <c r="C117" s="18" t="s">
        <v>73</v>
      </c>
      <c r="D117" s="19">
        <v>11755</v>
      </c>
      <c r="E117" s="21">
        <v>2370.2</v>
      </c>
      <c r="F117" s="21">
        <v>1006</v>
      </c>
      <c r="G117" s="19">
        <f>142781+5720+1735</f>
        <v>150236</v>
      </c>
    </row>
    <row r="118" spans="2:7" s="37" customFormat="1" ht="12" customHeight="1">
      <c r="B118" s="37" t="s">
        <v>39</v>
      </c>
      <c r="D118" s="19" t="s">
        <v>41</v>
      </c>
      <c r="E118" s="21" t="s">
        <v>41</v>
      </c>
      <c r="F118" s="21" t="s">
        <v>41</v>
      </c>
      <c r="G118" s="19" t="s">
        <v>41</v>
      </c>
    </row>
    <row r="119" spans="1:7" s="37" customFormat="1" ht="12" customHeight="1">
      <c r="A119" s="42"/>
      <c r="B119" s="42" t="s">
        <v>40</v>
      </c>
      <c r="C119" s="42"/>
      <c r="D119" s="43" t="s">
        <v>41</v>
      </c>
      <c r="E119" s="44" t="s">
        <v>41</v>
      </c>
      <c r="F119" s="44" t="s">
        <v>41</v>
      </c>
      <c r="G119" s="43" t="s">
        <v>41</v>
      </c>
    </row>
    <row r="120" spans="1:7" s="5" customFormat="1" ht="12" customHeight="1">
      <c r="A120" s="4" t="s">
        <v>37</v>
      </c>
      <c r="C120" s="4"/>
      <c r="D120" s="38"/>
      <c r="E120" s="39"/>
      <c r="F120" s="39"/>
      <c r="G120" s="38"/>
    </row>
    <row r="121" spans="1:7" s="5" customFormat="1" ht="12" customHeight="1">
      <c r="A121" s="6" t="s">
        <v>48</v>
      </c>
      <c r="C121" s="6"/>
      <c r="D121" s="38"/>
      <c r="E121" s="39"/>
      <c r="F121" s="39"/>
      <c r="G121" s="38"/>
    </row>
    <row r="122" spans="1:7" s="5" customFormat="1" ht="12" customHeight="1">
      <c r="A122" s="6" t="s">
        <v>49</v>
      </c>
      <c r="C122" s="6"/>
      <c r="D122" s="38"/>
      <c r="E122" s="39"/>
      <c r="F122" s="39"/>
      <c r="G122" s="38"/>
    </row>
    <row r="123" spans="1:7" s="5" customFormat="1" ht="12" customHeight="1">
      <c r="A123" s="5" t="s">
        <v>66</v>
      </c>
      <c r="C123" s="6"/>
      <c r="D123" s="38"/>
      <c r="E123" s="39"/>
      <c r="F123" s="39"/>
      <c r="G123" s="38"/>
    </row>
    <row r="124" spans="1:7" s="5" customFormat="1" ht="12" customHeight="1">
      <c r="A124" s="6" t="s">
        <v>60</v>
      </c>
      <c r="D124" s="38"/>
      <c r="E124" s="39"/>
      <c r="F124" s="39"/>
      <c r="G124" s="38"/>
    </row>
    <row r="125" spans="1:7" s="5" customFormat="1" ht="12" customHeight="1">
      <c r="A125" s="5" t="s">
        <v>61</v>
      </c>
      <c r="D125" s="38"/>
      <c r="E125" s="39"/>
      <c r="F125" s="39"/>
      <c r="G125" s="38"/>
    </row>
    <row r="126" spans="1:7" s="5" customFormat="1" ht="12" customHeight="1">
      <c r="A126" s="6" t="s">
        <v>58</v>
      </c>
      <c r="C126" s="6"/>
      <c r="D126" s="38"/>
      <c r="E126" s="39"/>
      <c r="F126" s="39"/>
      <c r="G126" s="38"/>
    </row>
    <row r="127" spans="1:7" s="5" customFormat="1" ht="12" customHeight="1">
      <c r="A127" s="6" t="s">
        <v>59</v>
      </c>
      <c r="C127" s="6"/>
      <c r="D127" s="50"/>
      <c r="E127" s="51"/>
      <c r="F127" s="51"/>
      <c r="G127" s="50"/>
    </row>
    <row r="128" spans="1:7" s="5" customFormat="1" ht="12" customHeight="1">
      <c r="A128" s="6" t="s">
        <v>87</v>
      </c>
      <c r="C128" s="6"/>
      <c r="D128" s="50"/>
      <c r="E128" s="51"/>
      <c r="F128" s="51"/>
      <c r="G128" s="50"/>
    </row>
    <row r="129" spans="1:7" s="5" customFormat="1" ht="12" customHeight="1">
      <c r="A129" s="6" t="s">
        <v>62</v>
      </c>
      <c r="D129" s="50"/>
      <c r="E129" s="51"/>
      <c r="F129" s="51"/>
      <c r="G129" s="50"/>
    </row>
    <row r="130" spans="1:7" s="5" customFormat="1" ht="12" customHeight="1">
      <c r="A130" s="6" t="s">
        <v>63</v>
      </c>
      <c r="D130" s="50"/>
      <c r="E130" s="51"/>
      <c r="F130" s="51"/>
      <c r="G130" s="50"/>
    </row>
    <row r="131" ht="12" customHeight="1">
      <c r="A131" s="5" t="s">
        <v>64</v>
      </c>
    </row>
    <row r="132" spans="1:7" s="1" customFormat="1" ht="12" customHeight="1">
      <c r="A132" s="5" t="s">
        <v>65</v>
      </c>
      <c r="D132" s="50"/>
      <c r="E132" s="51"/>
      <c r="F132" s="51"/>
      <c r="G132" s="50"/>
    </row>
    <row r="133" ht="12" customHeight="1"/>
    <row r="134" spans="4:7" s="1" customFormat="1" ht="12" customHeight="1">
      <c r="D134" s="50"/>
      <c r="E134" s="51"/>
      <c r="F134" s="51"/>
      <c r="G134" s="50"/>
    </row>
    <row r="135" spans="4:7" s="1" customFormat="1" ht="12" customHeight="1">
      <c r="D135" s="50"/>
      <c r="E135" s="51"/>
      <c r="F135" s="51"/>
      <c r="G135" s="50"/>
    </row>
    <row r="136" spans="4:7" s="1" customFormat="1" ht="12" customHeight="1">
      <c r="D136" s="50"/>
      <c r="E136" s="51"/>
      <c r="F136" s="51"/>
      <c r="G136" s="50"/>
    </row>
    <row r="137" ht="12" customHeight="1"/>
  </sheetData>
  <mergeCells count="54">
    <mergeCell ref="A65:A68"/>
    <mergeCell ref="B65:B68"/>
    <mergeCell ref="A114:A117"/>
    <mergeCell ref="B114:B117"/>
    <mergeCell ref="A106:A109"/>
    <mergeCell ref="B106:B109"/>
    <mergeCell ref="A110:A113"/>
    <mergeCell ref="B110:B113"/>
    <mergeCell ref="A98:A101"/>
    <mergeCell ref="B98:B101"/>
    <mergeCell ref="A102:A105"/>
    <mergeCell ref="B102:B105"/>
    <mergeCell ref="A90:A93"/>
    <mergeCell ref="B90:B93"/>
    <mergeCell ref="A94:A97"/>
    <mergeCell ref="B94:B97"/>
    <mergeCell ref="A82:A85"/>
    <mergeCell ref="B82:B85"/>
    <mergeCell ref="A86:A89"/>
    <mergeCell ref="B86:B89"/>
    <mergeCell ref="A73:A76"/>
    <mergeCell ref="B73:B76"/>
    <mergeCell ref="A53:A56"/>
    <mergeCell ref="B53:B56"/>
    <mergeCell ref="A57:A60"/>
    <mergeCell ref="B57:B60"/>
    <mergeCell ref="A69:A72"/>
    <mergeCell ref="B69:B72"/>
    <mergeCell ref="A61:A64"/>
    <mergeCell ref="B61:B64"/>
    <mergeCell ref="A45:A48"/>
    <mergeCell ref="B45:B48"/>
    <mergeCell ref="A49:A52"/>
    <mergeCell ref="B49:B52"/>
    <mergeCell ref="A37:A40"/>
    <mergeCell ref="B37:B40"/>
    <mergeCell ref="A41:A44"/>
    <mergeCell ref="B41:B44"/>
    <mergeCell ref="A29:A32"/>
    <mergeCell ref="B29:B32"/>
    <mergeCell ref="A33:A36"/>
    <mergeCell ref="B33:B36"/>
    <mergeCell ref="A21:A24"/>
    <mergeCell ref="B21:B24"/>
    <mergeCell ref="A25:A28"/>
    <mergeCell ref="B25:B28"/>
    <mergeCell ref="A13:A16"/>
    <mergeCell ref="B13:B16"/>
    <mergeCell ref="A17:A20"/>
    <mergeCell ref="B17:B20"/>
    <mergeCell ref="A5:A8"/>
    <mergeCell ref="B5:B8"/>
    <mergeCell ref="A9:A12"/>
    <mergeCell ref="B9:B12"/>
  </mergeCells>
  <printOptions/>
  <pageMargins left="0.83" right="0.36" top="0.6" bottom="0.984251968503937" header="0.5118110236220472" footer="0.5118110236220472"/>
  <pageSetup fitToHeight="2" horizontalDpi="300" verticalDpi="300" orientation="portrait" paperSize="9" scale="74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2004-11-22T14:02:58Z</cp:lastPrinted>
  <dcterms:created xsi:type="dcterms:W3CDTF">2002-06-21T13:42:56Z</dcterms:created>
  <dcterms:modified xsi:type="dcterms:W3CDTF">2005-01-17T12:08:34Z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70293539</vt:i4>
  </property>
  <property fmtid="{D5CDD505-2E9C-101B-9397-08002B2CF9AE}" pid="3" name="_EmailSubject">
    <vt:lpwstr>Tavola 25.22.xls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PreviousAdHocReviewCycleID">
    <vt:i4>828415170</vt:i4>
  </property>
</Properties>
</file>