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indicatori unità locali" sheetId="1" r:id="rId1"/>
  </sheets>
  <definedNames/>
  <calcPr fullCalcOnLoad="1"/>
</workbook>
</file>

<file path=xl/sharedStrings.xml><?xml version="1.0" encoding="utf-8"?>
<sst xmlns="http://schemas.openxmlformats.org/spreadsheetml/2006/main" count="290" uniqueCount="84">
  <si>
    <t>LIGURIA</t>
  </si>
  <si>
    <t>DE5</t>
  </si>
  <si>
    <t>DEA1</t>
  </si>
  <si>
    <t>DEF</t>
  </si>
  <si>
    <t>GR41</t>
  </si>
  <si>
    <t>VOREIO AIGAIO</t>
  </si>
  <si>
    <t>FRIULI-VENEZIA GIULIA</t>
  </si>
  <si>
    <t>TOSCANA</t>
  </si>
  <si>
    <t>LAZIO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</si>
  <si>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</si>
  <si>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</si>
  <si>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</si>
  <si>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</si>
  <si>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</si>
  <si>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</si>
  <si>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</si>
  <si>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</si>
  <si>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</si>
  <si>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</si>
  <si>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</si>
  <si>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</si>
  <si>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UKC2</t>
  </si>
  <si>
    <t>UKK2</t>
  </si>
  <si>
    <t>UKK4</t>
  </si>
  <si>
    <t>UKM2</t>
  </si>
  <si>
    <t>UKM3</t>
  </si>
  <si>
    <r>
      <t xml:space="preserve">Fonte: </t>
    </r>
    <r>
      <rPr>
        <sz val="7"/>
        <rFont val="Arial"/>
        <family val="2"/>
      </rPr>
      <t>EUROSTAT</t>
    </r>
  </si>
  <si>
    <t xml:space="preserve">REGIONE </t>
  </si>
  <si>
    <t>COMPLESSO UE 15</t>
  </si>
  <si>
    <t>….</t>
  </si>
  <si>
    <t>UNITA' LOCALI</t>
  </si>
  <si>
    <t>RETRIBUZIONI</t>
  </si>
  <si>
    <t>INVESTIMENTI LORDI</t>
  </si>
  <si>
    <t>OCCUPATI</t>
  </si>
  <si>
    <t>SETTORE</t>
  </si>
  <si>
    <t>Trasporti</t>
  </si>
  <si>
    <t>(b) Il commercio comprende anche gli alberghi e i pubblici esercizi</t>
  </si>
  <si>
    <t>COD. NUTS2</t>
  </si>
  <si>
    <t>ITC3</t>
  </si>
  <si>
    <t>ITD4</t>
  </si>
  <si>
    <t>ITE1</t>
  </si>
  <si>
    <t>ITE4</t>
  </si>
  <si>
    <t>Industria (a)</t>
  </si>
  <si>
    <t>Commercio (b)</t>
  </si>
  <si>
    <t>ES12</t>
  </si>
  <si>
    <t>PRINCIPADO DE ASTURIAS</t>
  </si>
  <si>
    <t>ES21</t>
  </si>
  <si>
    <t>PAIS VASCO</t>
  </si>
  <si>
    <t>BE21</t>
  </si>
  <si>
    <t>PROV. ANTWERPEN</t>
  </si>
  <si>
    <t>BE23</t>
  </si>
  <si>
    <t xml:space="preserve">PROV. OOST-VLAANDEREN </t>
  </si>
  <si>
    <t>BE25</t>
  </si>
  <si>
    <t>PROV. WEST-VLAANDEREN</t>
  </si>
  <si>
    <t>DENMARK</t>
  </si>
  <si>
    <t>DK00</t>
  </si>
  <si>
    <t>ITD5</t>
  </si>
  <si>
    <t>EMILIA ROMAGNA</t>
  </si>
  <si>
    <t>ITF1</t>
  </si>
  <si>
    <t>ABRUZZO</t>
  </si>
  <si>
    <t>SE09</t>
  </si>
  <si>
    <t>SMALAND MED OAMA</t>
  </si>
  <si>
    <t>UKH1</t>
  </si>
  <si>
    <t>UKM4</t>
  </si>
  <si>
    <t>COMPLESSO 30 REGIONI</t>
  </si>
  <si>
    <t>COMPLESSO UE 25</t>
  </si>
  <si>
    <t>(a) Industria in senso allargato, comprensiva delle costruzioni, con l'esclusione degli investimenti lordi nelle regioni del Belgio e in quelle spagnole</t>
  </si>
  <si>
    <r>
      <t xml:space="preserve">Tavola 25.22  Unità locali, retribuzioni, investimenti lordi e occupati per settore - Anno 2004 </t>
    </r>
    <r>
      <rPr>
        <i/>
        <sz val="9"/>
        <rFont val="Arial"/>
        <family val="2"/>
      </rPr>
      <t>(milioni di euro)</t>
    </r>
  </si>
  <si>
    <r>
      <t xml:space="preserve">Tavola 25.22 segue Unità locali, retribuzioni, investimenti lordi e occupati per settore - Anno 2004 </t>
    </r>
    <r>
      <rPr>
        <i/>
        <sz val="9"/>
        <rFont val="Arial"/>
        <family val="2"/>
      </rPr>
      <t>(milioni di euro)</t>
    </r>
  </si>
  <si>
    <t xml:space="preserve">       …..</t>
  </si>
  <si>
    <t xml:space="preserve">BREMEN </t>
  </si>
  <si>
    <t xml:space="preserve">DUESSELDORF </t>
  </si>
  <si>
    <t>SCHLESWIG-HOLSTEIN</t>
  </si>
  <si>
    <t xml:space="preserve">NORTHUMBERLAND AND TYNE &amp; WEAR </t>
  </si>
  <si>
    <t xml:space="preserve">EAST ANGLIA </t>
  </si>
  <si>
    <t>DORSET &amp; SOMERSET</t>
  </si>
  <si>
    <t xml:space="preserve">DEVON </t>
  </si>
  <si>
    <t>EASTERN SCOTLAND</t>
  </si>
  <si>
    <t xml:space="preserve">SOUTH WESTERN SCOTLAND </t>
  </si>
  <si>
    <t xml:space="preserve">HIGLANDS AND ISLANDS </t>
  </si>
  <si>
    <t>Altri servizi ( c )</t>
  </si>
  <si>
    <t xml:space="preserve">Altri servizi ( c ) </t>
  </si>
  <si>
    <t>Altri servizi ( c)</t>
  </si>
  <si>
    <t xml:space="preserve">( c ) Gli altri servizi comprendono le codifiche NACE Rev 1 comprese nella sezione K (Attività immobiliari, noleggio, informatica, ricerca, altre attività professionali ed imprenditoriali)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</si>
</sst>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170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 wrapText="1"/>
    </xf>
    <xf numFmtId="170" fontId="8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 horizontal="right"/>
    </xf>
    <xf numFmtId="170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7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right" vertical="center"/>
    </xf>
    <xf numFmtId="170" fontId="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wrapText="1"/>
    </xf>
    <xf numFmtId="170" fontId="8" fillId="0" borderId="0" xfId="0" applyNumberFormat="1" applyFont="1" applyAlignment="1">
      <alignment wrapText="1"/>
    </xf>
    <xf numFmtId="3" fontId="8" fillId="0" borderId="0" xfId="0" applyNumberFormat="1" applyFont="1" applyFill="1" applyAlignment="1">
      <alignment horizontal="right"/>
    </xf>
    <xf numFmtId="0" fontId="10" fillId="0" borderId="2" xfId="0" applyFont="1" applyBorder="1" applyAlignment="1">
      <alignment/>
    </xf>
    <xf numFmtId="3" fontId="4" fillId="0" borderId="0" xfId="0" applyNumberFormat="1" applyFont="1" applyAlignment="1" quotePrefix="1">
      <alignment wrapText="1"/>
    </xf>
    <xf numFmtId="170" fontId="4" fillId="0" borderId="0" xfId="0" applyNumberFormat="1" applyFont="1" applyAlignment="1" quotePrefix="1">
      <alignment wrapText="1"/>
    </xf>
    <xf numFmtId="3" fontId="11" fillId="0" borderId="0" xfId="0" applyNumberFormat="1" applyFont="1" applyAlignment="1" quotePrefix="1">
      <alignment wrapText="1"/>
    </xf>
    <xf numFmtId="170" fontId="11" fillId="0" borderId="0" xfId="0" applyNumberFormat="1" applyFont="1" applyAlignment="1" quotePrefix="1">
      <alignment wrapText="1"/>
    </xf>
    <xf numFmtId="0" fontId="0" fillId="0" borderId="0" xfId="0" applyFont="1" applyAlignment="1">
      <alignment/>
    </xf>
    <xf numFmtId="3" fontId="6" fillId="0" borderId="0" xfId="0" applyNumberFormat="1" applyFont="1" applyAlignment="1">
      <alignment wrapText="1"/>
    </xf>
    <xf numFmtId="170" fontId="6" fillId="0" borderId="0" xfId="0" applyNumberFormat="1" applyFont="1" applyAlignment="1">
      <alignment wrapText="1"/>
    </xf>
    <xf numFmtId="3" fontId="10" fillId="0" borderId="0" xfId="0" applyNumberFormat="1" applyFont="1" applyFill="1" applyBorder="1" applyAlignment="1">
      <alignment horizontal="right"/>
    </xf>
    <xf numFmtId="170" fontId="10" fillId="0" borderId="0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SheetLayoutView="75" workbookViewId="0" topLeftCell="A21">
      <selection activeCell="D65" sqref="D65"/>
    </sheetView>
  </sheetViews>
  <sheetFormatPr defaultColWidth="9.140625" defaultRowHeight="12.75"/>
  <cols>
    <col min="1" max="1" width="5.00390625" style="46" customWidth="1"/>
    <col min="2" max="2" width="39.8515625" style="46" customWidth="1"/>
    <col min="3" max="3" width="17.00390625" style="46" customWidth="1"/>
    <col min="4" max="4" width="11.7109375" style="47" customWidth="1"/>
    <col min="5" max="6" width="11.7109375" style="48" customWidth="1"/>
    <col min="7" max="7" width="11.7109375" style="47" customWidth="1"/>
    <col min="8" max="16384" width="9.140625" style="46" customWidth="1"/>
  </cols>
  <sheetData>
    <row r="1" spans="1:7" s="3" customFormat="1" ht="12">
      <c r="A1" s="2" t="s">
        <v>67</v>
      </c>
      <c r="B1" s="2"/>
      <c r="C1" s="2"/>
      <c r="D1" s="44"/>
      <c r="E1" s="45"/>
      <c r="F1" s="45"/>
      <c r="G1" s="44"/>
    </row>
    <row r="3" spans="1:7" s="5" customFormat="1" ht="30.75" customHeight="1">
      <c r="A3" s="7" t="s">
        <v>37</v>
      </c>
      <c r="B3" s="8" t="s">
        <v>27</v>
      </c>
      <c r="C3" s="9" t="s">
        <v>34</v>
      </c>
      <c r="D3" s="10" t="s">
        <v>30</v>
      </c>
      <c r="E3" s="11" t="s">
        <v>31</v>
      </c>
      <c r="F3" s="11" t="s">
        <v>32</v>
      </c>
      <c r="G3" s="10" t="s">
        <v>33</v>
      </c>
    </row>
    <row r="4" spans="1:7" s="16" customFormat="1" ht="9" customHeight="1">
      <c r="A4" s="12"/>
      <c r="B4" s="12"/>
      <c r="C4" s="13"/>
      <c r="D4" s="14"/>
      <c r="E4" s="15"/>
      <c r="F4" s="15"/>
      <c r="G4" s="14"/>
    </row>
    <row r="5" spans="1:7" s="16" customFormat="1" ht="9" customHeight="1">
      <c r="A5" s="52" t="s">
        <v>48</v>
      </c>
      <c r="B5" s="52" t="s">
        <v>49</v>
      </c>
      <c r="C5" s="18" t="s">
        <v>42</v>
      </c>
      <c r="D5" s="14" t="s">
        <v>69</v>
      </c>
      <c r="E5" s="15">
        <f>8.6+4833+186+827.4</f>
        <v>5855</v>
      </c>
      <c r="F5" s="15">
        <f>9.4+1179.9+221.2</f>
        <v>1410.5000000000002</v>
      </c>
      <c r="G5" s="14">
        <f>280+128280+3120+41967</f>
        <v>173647</v>
      </c>
    </row>
    <row r="6" spans="1:7" s="16" customFormat="1" ht="9" customHeight="1">
      <c r="A6" s="52"/>
      <c r="B6" s="52"/>
      <c r="C6" s="18" t="s">
        <v>43</v>
      </c>
      <c r="D6" s="14" t="s">
        <v>29</v>
      </c>
      <c r="E6" s="15">
        <f>2486.7+185.8</f>
        <v>2672.5</v>
      </c>
      <c r="F6" s="15" t="s">
        <v>29</v>
      </c>
      <c r="G6" s="14">
        <f>115112+23888</f>
        <v>139000</v>
      </c>
    </row>
    <row r="7" spans="1:7" s="16" customFormat="1" ht="9" customHeight="1">
      <c r="A7" s="52"/>
      <c r="B7" s="52"/>
      <c r="C7" s="18" t="s">
        <v>35</v>
      </c>
      <c r="D7" s="14" t="s">
        <v>29</v>
      </c>
      <c r="E7" s="15">
        <v>1854.3</v>
      </c>
      <c r="F7" s="15" t="s">
        <v>29</v>
      </c>
      <c r="G7" s="14">
        <v>55571</v>
      </c>
    </row>
    <row r="8" spans="1:7" s="16" customFormat="1" ht="9" customHeight="1">
      <c r="A8" s="52"/>
      <c r="B8" s="52"/>
      <c r="C8" s="18" t="s">
        <v>81</v>
      </c>
      <c r="D8" s="14" t="s">
        <v>29</v>
      </c>
      <c r="E8" s="15">
        <v>2384.1</v>
      </c>
      <c r="F8" s="15" t="s">
        <v>29</v>
      </c>
      <c r="G8" s="14">
        <v>93500</v>
      </c>
    </row>
    <row r="9" spans="1:7" s="16" customFormat="1" ht="9" customHeight="1">
      <c r="A9" s="52" t="s">
        <v>50</v>
      </c>
      <c r="B9" s="52" t="s">
        <v>51</v>
      </c>
      <c r="C9" s="18" t="s">
        <v>42</v>
      </c>
      <c r="D9" s="14" t="s">
        <v>29</v>
      </c>
      <c r="E9" s="15">
        <f>3.2+3069.1+265.8+714.7</f>
        <v>4052.8</v>
      </c>
      <c r="F9" s="15">
        <f>2.3+723+310.1</f>
        <v>1035.4</v>
      </c>
      <c r="G9" s="14">
        <f>89+97828+4649+38951</f>
        <v>141517</v>
      </c>
    </row>
    <row r="10" spans="1:7" s="16" customFormat="1" ht="9" customHeight="1">
      <c r="A10" s="52"/>
      <c r="B10" s="52"/>
      <c r="C10" s="18" t="s">
        <v>43</v>
      </c>
      <c r="D10" s="14" t="s">
        <v>29</v>
      </c>
      <c r="E10" s="16">
        <f>1307.3+134</f>
        <v>1441.3</v>
      </c>
      <c r="F10" s="15" t="s">
        <v>29</v>
      </c>
      <c r="G10" s="14">
        <f>73172+18577</f>
        <v>91749</v>
      </c>
    </row>
    <row r="11" spans="1:7" s="16" customFormat="1" ht="9" customHeight="1">
      <c r="A11" s="52"/>
      <c r="B11" s="52"/>
      <c r="C11" s="18" t="s">
        <v>35</v>
      </c>
      <c r="D11" s="14" t="s">
        <v>29</v>
      </c>
      <c r="E11" s="16">
        <v>815.2</v>
      </c>
      <c r="F11" s="15" t="s">
        <v>29</v>
      </c>
      <c r="G11" s="14">
        <v>26910</v>
      </c>
    </row>
    <row r="12" spans="1:7" s="16" customFormat="1" ht="9" customHeight="1">
      <c r="A12" s="52"/>
      <c r="B12" s="52"/>
      <c r="C12" s="18" t="s">
        <v>81</v>
      </c>
      <c r="D12" s="14" t="s">
        <v>29</v>
      </c>
      <c r="E12" s="15">
        <v>760.7</v>
      </c>
      <c r="F12" s="15" t="s">
        <v>29</v>
      </c>
      <c r="G12" s="14">
        <v>38703</v>
      </c>
    </row>
    <row r="13" spans="1:7" s="16" customFormat="1" ht="9" customHeight="1">
      <c r="A13" s="52" t="s">
        <v>52</v>
      </c>
      <c r="B13" s="52" t="s">
        <v>53</v>
      </c>
      <c r="C13" s="18" t="s">
        <v>42</v>
      </c>
      <c r="D13" s="14" t="s">
        <v>29</v>
      </c>
      <c r="E13" s="15">
        <f>1.8+2713.4+42+533.3</f>
        <v>3290.5</v>
      </c>
      <c r="F13" s="15">
        <f>1.3+810.3+149.4</f>
        <v>960.9999999999999</v>
      </c>
      <c r="G13" s="14">
        <f>63+99758+1034+32440</f>
        <v>133295</v>
      </c>
    </row>
    <row r="14" spans="1:7" s="16" customFormat="1" ht="9" customHeight="1">
      <c r="A14" s="52"/>
      <c r="B14" s="52"/>
      <c r="C14" s="18" t="s">
        <v>43</v>
      </c>
      <c r="D14" s="14" t="s">
        <v>29</v>
      </c>
      <c r="E14" s="15">
        <f>1045.1+169.3</f>
        <v>1214.3999999999999</v>
      </c>
      <c r="F14" s="15" t="s">
        <v>29</v>
      </c>
      <c r="G14" s="14">
        <f>65262+22746</f>
        <v>88008</v>
      </c>
    </row>
    <row r="15" spans="1:7" s="16" customFormat="1" ht="9" customHeight="1">
      <c r="A15" s="52"/>
      <c r="B15" s="52"/>
      <c r="C15" s="18" t="s">
        <v>35</v>
      </c>
      <c r="D15" s="14" t="s">
        <v>29</v>
      </c>
      <c r="E15" s="15">
        <v>695.4</v>
      </c>
      <c r="F15" s="15" t="s">
        <v>29</v>
      </c>
      <c r="G15" s="14">
        <v>24284</v>
      </c>
    </row>
    <row r="16" spans="1:7" s="16" customFormat="1" ht="9" customHeight="1">
      <c r="A16" s="52"/>
      <c r="B16" s="52"/>
      <c r="C16" s="18" t="s">
        <v>80</v>
      </c>
      <c r="D16" s="14" t="s">
        <v>29</v>
      </c>
      <c r="E16" s="15">
        <v>639.5</v>
      </c>
      <c r="F16" s="15" t="s">
        <v>29</v>
      </c>
      <c r="G16" s="14">
        <v>34999</v>
      </c>
    </row>
    <row r="17" spans="1:7" s="16" customFormat="1" ht="9" customHeight="1">
      <c r="A17" s="52" t="s">
        <v>1</v>
      </c>
      <c r="B17" s="52" t="s">
        <v>70</v>
      </c>
      <c r="C17" s="18" t="s">
        <v>42</v>
      </c>
      <c r="D17" s="19" t="s">
        <v>29</v>
      </c>
      <c r="E17" s="20" t="s">
        <v>29</v>
      </c>
      <c r="F17" s="21" t="s">
        <v>29</v>
      </c>
      <c r="G17" s="19" t="s">
        <v>29</v>
      </c>
    </row>
    <row r="18" spans="1:7" s="16" customFormat="1" ht="9" customHeight="1">
      <c r="A18" s="52"/>
      <c r="B18" s="52"/>
      <c r="C18" s="18" t="s">
        <v>43</v>
      </c>
      <c r="D18" s="22" t="s">
        <v>29</v>
      </c>
      <c r="E18" s="22" t="s">
        <v>29</v>
      </c>
      <c r="F18" s="21" t="s">
        <v>29</v>
      </c>
      <c r="G18" s="22" t="s">
        <v>29</v>
      </c>
    </row>
    <row r="19" spans="1:7" s="16" customFormat="1" ht="9" customHeight="1">
      <c r="A19" s="52"/>
      <c r="B19" s="52"/>
      <c r="C19" s="18" t="s">
        <v>35</v>
      </c>
      <c r="D19" s="19" t="s">
        <v>29</v>
      </c>
      <c r="E19" s="21" t="s">
        <v>29</v>
      </c>
      <c r="F19" s="21" t="s">
        <v>29</v>
      </c>
      <c r="G19" s="19" t="s">
        <v>29</v>
      </c>
    </row>
    <row r="20" spans="1:7" s="16" customFormat="1" ht="9" customHeight="1">
      <c r="A20" s="52"/>
      <c r="B20" s="52"/>
      <c r="C20" s="18" t="s">
        <v>80</v>
      </c>
      <c r="D20" s="19" t="s">
        <v>29</v>
      </c>
      <c r="E20" s="21" t="s">
        <v>29</v>
      </c>
      <c r="F20" s="21" t="s">
        <v>29</v>
      </c>
      <c r="G20" s="19" t="s">
        <v>29</v>
      </c>
    </row>
    <row r="21" spans="1:7" s="16" customFormat="1" ht="9" customHeight="1">
      <c r="A21" s="52" t="s">
        <v>2</v>
      </c>
      <c r="B21" s="52" t="s">
        <v>71</v>
      </c>
      <c r="C21" s="18" t="s">
        <v>42</v>
      </c>
      <c r="D21" s="24">
        <f>54+2601+733</f>
        <v>3388</v>
      </c>
      <c r="E21" s="23">
        <f>586.2+13453.1+1328.4</f>
        <v>15367.7</v>
      </c>
      <c r="F21" s="21">
        <f>66.7+2576.4</f>
        <v>2643.1</v>
      </c>
      <c r="G21" s="24">
        <f>15568+331561+38098</f>
        <v>385227</v>
      </c>
    </row>
    <row r="22" spans="1:7" s="16" customFormat="1" ht="9" customHeight="1">
      <c r="A22" s="52"/>
      <c r="B22" s="52"/>
      <c r="C22" s="18" t="s">
        <v>43</v>
      </c>
      <c r="D22" s="22" t="s">
        <v>29</v>
      </c>
      <c r="E22" s="22" t="s">
        <v>29</v>
      </c>
      <c r="F22" s="21" t="s">
        <v>29</v>
      </c>
      <c r="G22" s="22" t="s">
        <v>29</v>
      </c>
    </row>
    <row r="23" spans="1:7" s="16" customFormat="1" ht="9" customHeight="1">
      <c r="A23" s="52"/>
      <c r="B23" s="52"/>
      <c r="C23" s="18" t="s">
        <v>35</v>
      </c>
      <c r="D23" s="19">
        <v>6587</v>
      </c>
      <c r="E23" s="21">
        <v>3684.1</v>
      </c>
      <c r="F23" s="21" t="s">
        <v>29</v>
      </c>
      <c r="G23" s="19">
        <v>140512</v>
      </c>
    </row>
    <row r="24" spans="1:7" s="16" customFormat="1" ht="9" customHeight="1">
      <c r="A24" s="52"/>
      <c r="B24" s="52"/>
      <c r="C24" s="18" t="s">
        <v>80</v>
      </c>
      <c r="D24" s="19">
        <v>43635</v>
      </c>
      <c r="E24" s="21">
        <v>8163.1</v>
      </c>
      <c r="F24" s="21" t="s">
        <v>29</v>
      </c>
      <c r="G24" s="19">
        <v>355614</v>
      </c>
    </row>
    <row r="25" spans="1:7" s="16" customFormat="1" ht="9" customHeight="1">
      <c r="A25" s="52" t="s">
        <v>3</v>
      </c>
      <c r="B25" s="52" t="s">
        <v>72</v>
      </c>
      <c r="C25" s="18" t="s">
        <v>42</v>
      </c>
      <c r="D25" s="19" t="s">
        <v>29</v>
      </c>
      <c r="E25" s="19" t="s">
        <v>29</v>
      </c>
      <c r="F25" s="21" t="s">
        <v>29</v>
      </c>
      <c r="G25" s="19" t="s">
        <v>29</v>
      </c>
    </row>
    <row r="26" spans="1:7" s="16" customFormat="1" ht="9" customHeight="1">
      <c r="A26" s="52"/>
      <c r="B26" s="52"/>
      <c r="C26" s="18" t="s">
        <v>43</v>
      </c>
      <c r="D26" s="22" t="s">
        <v>29</v>
      </c>
      <c r="E26" s="22" t="s">
        <v>29</v>
      </c>
      <c r="F26" s="21" t="s">
        <v>29</v>
      </c>
      <c r="G26" s="22" t="s">
        <v>29</v>
      </c>
    </row>
    <row r="27" spans="1:7" s="16" customFormat="1" ht="9" customHeight="1">
      <c r="A27" s="52"/>
      <c r="B27" s="52"/>
      <c r="C27" s="18" t="s">
        <v>35</v>
      </c>
      <c r="D27" s="19" t="s">
        <v>29</v>
      </c>
      <c r="E27" s="21" t="s">
        <v>29</v>
      </c>
      <c r="F27" s="21" t="s">
        <v>29</v>
      </c>
      <c r="G27" s="19" t="s">
        <v>29</v>
      </c>
    </row>
    <row r="28" spans="1:7" s="16" customFormat="1" ht="9" customHeight="1">
      <c r="A28" s="52"/>
      <c r="B28" s="52"/>
      <c r="C28" s="18" t="s">
        <v>80</v>
      </c>
      <c r="D28" s="19" t="s">
        <v>29</v>
      </c>
      <c r="E28" s="21" t="s">
        <v>29</v>
      </c>
      <c r="F28" s="21" t="s">
        <v>29</v>
      </c>
      <c r="G28" s="21" t="s">
        <v>29</v>
      </c>
    </row>
    <row r="29" spans="1:7" s="16" customFormat="1" ht="9" customHeight="1">
      <c r="A29" s="52" t="s">
        <v>55</v>
      </c>
      <c r="B29" s="52" t="s">
        <v>54</v>
      </c>
      <c r="C29" s="18" t="s">
        <v>42</v>
      </c>
      <c r="D29" s="19">
        <f>310+20757+5504+29548</f>
        <v>56119</v>
      </c>
      <c r="E29" s="21">
        <f>165+16251.9+622.5+5617.7</f>
        <v>22657.100000000002</v>
      </c>
      <c r="F29" s="21">
        <f>729.3+4005.8+1893.1+679.5</f>
        <v>7307.700000000001</v>
      </c>
      <c r="G29" s="19">
        <f>3145+418175+17094+176565</f>
        <v>614979</v>
      </c>
    </row>
    <row r="30" spans="1:7" s="16" customFormat="1" ht="9" customHeight="1">
      <c r="A30" s="52"/>
      <c r="B30" s="52"/>
      <c r="C30" s="18" t="s">
        <v>43</v>
      </c>
      <c r="D30" s="19">
        <f>58243+14145</f>
        <v>72388</v>
      </c>
      <c r="E30" s="21">
        <f>12513.8+1353.4</f>
        <v>13867.199999999999</v>
      </c>
      <c r="F30" s="21">
        <f>2290.3+323.4</f>
        <v>2613.7000000000003</v>
      </c>
      <c r="G30" s="19">
        <f>430970+97544</f>
        <v>528514</v>
      </c>
    </row>
    <row r="31" spans="1:7" s="16" customFormat="1" ht="9" customHeight="1">
      <c r="A31" s="52"/>
      <c r="B31" s="52"/>
      <c r="C31" s="18" t="s">
        <v>35</v>
      </c>
      <c r="D31" s="19">
        <v>16535</v>
      </c>
      <c r="E31" s="21">
        <v>6896.1</v>
      </c>
      <c r="F31" s="21">
        <v>4826.9</v>
      </c>
      <c r="G31" s="19">
        <v>186889</v>
      </c>
    </row>
    <row r="32" spans="1:7" s="16" customFormat="1" ht="9" customHeight="1">
      <c r="A32" s="52"/>
      <c r="B32" s="52"/>
      <c r="C32" s="18" t="s">
        <v>80</v>
      </c>
      <c r="D32" s="19">
        <v>68999</v>
      </c>
      <c r="E32" s="21">
        <v>10414.2</v>
      </c>
      <c r="F32" s="21">
        <v>15127.4</v>
      </c>
      <c r="G32" s="19">
        <v>334869</v>
      </c>
    </row>
    <row r="33" spans="1:7" s="16" customFormat="1" ht="9" customHeight="1">
      <c r="A33" s="52" t="s">
        <v>44</v>
      </c>
      <c r="B33" s="52" t="s">
        <v>45</v>
      </c>
      <c r="C33" s="18" t="s">
        <v>42</v>
      </c>
      <c r="D33" s="25">
        <f>96+3906+91+9234</f>
        <v>13327</v>
      </c>
      <c r="E33" s="26">
        <f>197+1206+90.8+877.5</f>
        <v>2371.3</v>
      </c>
      <c r="F33" s="26">
        <f>58.6+406.3+234</f>
        <v>698.9000000000001</v>
      </c>
      <c r="G33" s="25">
        <f>7067+53648+2265+51950</f>
        <v>114930</v>
      </c>
    </row>
    <row r="34" spans="1:7" s="16" customFormat="1" ht="9" customHeight="1">
      <c r="A34" s="52"/>
      <c r="B34" s="52"/>
      <c r="C34" s="18" t="s">
        <v>43</v>
      </c>
      <c r="D34" s="25">
        <f>21966+9577</f>
        <v>31543</v>
      </c>
      <c r="E34" s="23">
        <f>607.9+186.7</f>
        <v>794.5999999999999</v>
      </c>
      <c r="F34" s="26">
        <f>217.5+34.1</f>
        <v>251.6</v>
      </c>
      <c r="G34" s="25">
        <f>57826+26291</f>
        <v>84117</v>
      </c>
    </row>
    <row r="35" spans="1:7" s="16" customFormat="1" ht="9" customHeight="1">
      <c r="A35" s="52"/>
      <c r="B35" s="52"/>
      <c r="C35" s="18" t="s">
        <v>35</v>
      </c>
      <c r="D35" s="24">
        <v>5876</v>
      </c>
      <c r="E35" s="26">
        <v>208.7</v>
      </c>
      <c r="F35" s="26">
        <v>341.4</v>
      </c>
      <c r="G35" s="24">
        <v>15711</v>
      </c>
    </row>
    <row r="36" spans="1:7" s="16" customFormat="1" ht="9" customHeight="1">
      <c r="A36" s="52"/>
      <c r="B36" s="52"/>
      <c r="C36" s="18" t="s">
        <v>82</v>
      </c>
      <c r="D36" s="24">
        <v>8643</v>
      </c>
      <c r="E36" s="23">
        <v>338.1</v>
      </c>
      <c r="F36" s="26">
        <v>207.4</v>
      </c>
      <c r="G36" s="24">
        <v>27826</v>
      </c>
    </row>
    <row r="37" spans="1:7" s="16" customFormat="1" ht="9" customHeight="1">
      <c r="A37" s="52" t="s">
        <v>46</v>
      </c>
      <c r="B37" s="52" t="s">
        <v>47</v>
      </c>
      <c r="C37" s="18" t="s">
        <v>42</v>
      </c>
      <c r="D37" s="25">
        <f>57+13004+127+22432</f>
        <v>35620</v>
      </c>
      <c r="E37" s="26">
        <f>21.2+5961.6+150+4625.6</f>
        <v>10758.400000000001</v>
      </c>
      <c r="F37" s="26">
        <f>25.9+1891.6+264.7</f>
        <v>2182.2</v>
      </c>
      <c r="G37" s="25">
        <f>784+230251+3530+216003</f>
        <v>450568</v>
      </c>
    </row>
    <row r="38" spans="1:7" s="16" customFormat="1" ht="9" customHeight="1">
      <c r="A38" s="52"/>
      <c r="B38" s="52"/>
      <c r="C38" s="18" t="s">
        <v>43</v>
      </c>
      <c r="D38" s="25">
        <f>46002+14663</f>
        <v>60665</v>
      </c>
      <c r="E38" s="26">
        <f>2044+452.1</f>
        <v>2496.1</v>
      </c>
      <c r="F38" s="26">
        <f>711+51.8</f>
        <v>762.8</v>
      </c>
      <c r="G38" s="25">
        <f>143934+51811</f>
        <v>195745</v>
      </c>
    </row>
    <row r="39" spans="1:7" s="16" customFormat="1" ht="9" customHeight="1">
      <c r="A39" s="52"/>
      <c r="B39" s="52"/>
      <c r="C39" s="18" t="s">
        <v>35</v>
      </c>
      <c r="D39" s="24">
        <v>14536</v>
      </c>
      <c r="E39" s="26">
        <v>766.9</v>
      </c>
      <c r="F39" s="26">
        <v>420.5</v>
      </c>
      <c r="G39" s="24">
        <v>44423</v>
      </c>
    </row>
    <row r="40" spans="1:7" s="16" customFormat="1" ht="9" customHeight="1">
      <c r="A40" s="52"/>
      <c r="B40" s="52"/>
      <c r="C40" s="18" t="s">
        <v>80</v>
      </c>
      <c r="D40" s="24">
        <v>25128</v>
      </c>
      <c r="E40" s="23">
        <v>1869</v>
      </c>
      <c r="F40" s="26">
        <v>759.5</v>
      </c>
      <c r="G40" s="24">
        <v>122039</v>
      </c>
    </row>
    <row r="41" spans="1:7" s="16" customFormat="1" ht="9" customHeight="1">
      <c r="A41" s="52" t="s">
        <v>4</v>
      </c>
      <c r="B41" s="52" t="s">
        <v>5</v>
      </c>
      <c r="C41" s="18" t="s">
        <v>42</v>
      </c>
      <c r="D41" s="27" t="s">
        <v>29</v>
      </c>
      <c r="E41" s="28" t="s">
        <v>29</v>
      </c>
      <c r="F41" s="28" t="s">
        <v>29</v>
      </c>
      <c r="G41" s="27" t="s">
        <v>29</v>
      </c>
    </row>
    <row r="42" spans="1:7" s="16" customFormat="1" ht="9" customHeight="1">
      <c r="A42" s="52"/>
      <c r="B42" s="52"/>
      <c r="C42" s="18" t="s">
        <v>43</v>
      </c>
      <c r="D42" s="27" t="s">
        <v>29</v>
      </c>
      <c r="E42" s="28" t="s">
        <v>29</v>
      </c>
      <c r="F42" s="28" t="s">
        <v>29</v>
      </c>
      <c r="G42" s="27" t="s">
        <v>29</v>
      </c>
    </row>
    <row r="43" spans="1:7" s="16" customFormat="1" ht="9" customHeight="1">
      <c r="A43" s="52"/>
      <c r="B43" s="52"/>
      <c r="C43" s="18" t="s">
        <v>35</v>
      </c>
      <c r="D43" s="27" t="s">
        <v>29</v>
      </c>
      <c r="E43" s="28" t="s">
        <v>29</v>
      </c>
      <c r="F43" s="28" t="s">
        <v>29</v>
      </c>
      <c r="G43" s="27" t="s">
        <v>29</v>
      </c>
    </row>
    <row r="44" spans="1:7" s="16" customFormat="1" ht="9" customHeight="1">
      <c r="A44" s="52"/>
      <c r="B44" s="52"/>
      <c r="C44" s="18" t="s">
        <v>80</v>
      </c>
      <c r="D44" s="27" t="s">
        <v>29</v>
      </c>
      <c r="E44" s="28" t="s">
        <v>29</v>
      </c>
      <c r="F44" s="28" t="s">
        <v>29</v>
      </c>
      <c r="G44" s="27" t="s">
        <v>29</v>
      </c>
    </row>
    <row r="45" spans="1:7" s="32" customFormat="1" ht="9" customHeight="1">
      <c r="A45" s="54" t="s">
        <v>38</v>
      </c>
      <c r="B45" s="54" t="s">
        <v>0</v>
      </c>
      <c r="C45" s="29" t="s">
        <v>42</v>
      </c>
      <c r="D45" s="30">
        <f>117+10929+82+18340</f>
        <v>29468</v>
      </c>
      <c r="E45" s="31">
        <f>8.9+1509.5+132.7+443.9</f>
        <v>2095</v>
      </c>
      <c r="F45" s="31">
        <f>8.1+384.1+103.6+84.6</f>
        <v>580.4000000000001</v>
      </c>
      <c r="G45" s="30">
        <f>531+75050+4021+47249</f>
        <v>126851</v>
      </c>
    </row>
    <row r="46" spans="1:7" s="32" customFormat="1" ht="9" customHeight="1">
      <c r="A46" s="54"/>
      <c r="B46" s="54"/>
      <c r="C46" s="29" t="s">
        <v>43</v>
      </c>
      <c r="D46" s="33">
        <f>43794+10544</f>
        <v>54338</v>
      </c>
      <c r="E46" s="31">
        <f>880.6+218.4</f>
        <v>1099</v>
      </c>
      <c r="F46" s="31">
        <f>325.1+120.8</f>
        <v>445.90000000000003</v>
      </c>
      <c r="G46" s="30">
        <f>97931+39485</f>
        <v>137416</v>
      </c>
    </row>
    <row r="47" spans="1:7" s="32" customFormat="1" ht="9" customHeight="1">
      <c r="A47" s="54"/>
      <c r="B47" s="54"/>
      <c r="C47" s="29" t="s">
        <v>35</v>
      </c>
      <c r="D47" s="33">
        <v>5977</v>
      </c>
      <c r="E47" s="34">
        <v>965.1</v>
      </c>
      <c r="F47" s="34">
        <v>433.7</v>
      </c>
      <c r="G47" s="33">
        <v>42150</v>
      </c>
    </row>
    <row r="48" spans="1:7" s="32" customFormat="1" ht="9" customHeight="1">
      <c r="A48" s="54"/>
      <c r="B48" s="54"/>
      <c r="C48" s="29" t="s">
        <v>80</v>
      </c>
      <c r="D48" s="33">
        <v>30610</v>
      </c>
      <c r="E48" s="34">
        <v>652.3</v>
      </c>
      <c r="F48" s="31">
        <v>202.9</v>
      </c>
      <c r="G48" s="33">
        <v>67470</v>
      </c>
    </row>
    <row r="49" spans="1:7" s="16" customFormat="1" ht="9" customHeight="1">
      <c r="A49" s="52" t="s">
        <v>39</v>
      </c>
      <c r="B49" s="52" t="s">
        <v>6</v>
      </c>
      <c r="C49" s="18" t="s">
        <v>42</v>
      </c>
      <c r="D49" s="25">
        <f>109+12122+87+12702</f>
        <v>25020</v>
      </c>
      <c r="E49" s="26">
        <f>13.3+2553.2+104.4+442.3</f>
        <v>3113.2000000000003</v>
      </c>
      <c r="F49" s="26">
        <f>17.1+808.8+103.2+126.3</f>
        <v>1055.4</v>
      </c>
      <c r="G49" s="25">
        <f>677+132822+3409+37152</f>
        <v>174060</v>
      </c>
    </row>
    <row r="50" spans="1:7" s="16" customFormat="1" ht="9" customHeight="1">
      <c r="A50" s="52"/>
      <c r="B50" s="52"/>
      <c r="C50" s="18" t="s">
        <v>43</v>
      </c>
      <c r="D50" s="24">
        <f>25480+7046</f>
        <v>32526</v>
      </c>
      <c r="E50" s="26">
        <f>726.2+195.9</f>
        <v>922.1</v>
      </c>
      <c r="F50" s="26">
        <f>199.9+61.3</f>
        <v>261.2</v>
      </c>
      <c r="G50" s="24">
        <f>68590+25341</f>
        <v>93931</v>
      </c>
    </row>
    <row r="51" spans="1:7" s="16" customFormat="1" ht="9" customHeight="1">
      <c r="A51" s="52"/>
      <c r="B51" s="52"/>
      <c r="C51" s="18" t="s">
        <v>35</v>
      </c>
      <c r="D51" s="24">
        <v>3572</v>
      </c>
      <c r="E51" s="23">
        <v>419.2</v>
      </c>
      <c r="F51" s="26">
        <v>244.2</v>
      </c>
      <c r="G51" s="24">
        <v>21607</v>
      </c>
    </row>
    <row r="52" spans="1:7" s="16" customFormat="1" ht="9" customHeight="1">
      <c r="A52" s="52"/>
      <c r="B52" s="52"/>
      <c r="C52" s="18" t="s">
        <v>81</v>
      </c>
      <c r="D52" s="24">
        <v>21025</v>
      </c>
      <c r="E52" s="23">
        <v>539.4</v>
      </c>
      <c r="F52" s="26">
        <v>226.6</v>
      </c>
      <c r="G52" s="24">
        <v>55811</v>
      </c>
    </row>
    <row r="53" spans="1:7" s="16" customFormat="1" ht="9" customHeight="1">
      <c r="A53" s="52" t="s">
        <v>56</v>
      </c>
      <c r="B53" s="52" t="s">
        <v>57</v>
      </c>
      <c r="C53" s="18" t="s">
        <v>42</v>
      </c>
      <c r="D53" s="24">
        <f>269+54500+199+56160</f>
        <v>111128</v>
      </c>
      <c r="E53" s="23">
        <f>77.3+10604.7+273+1576.6</f>
        <v>12531.6</v>
      </c>
      <c r="F53" s="26">
        <f>593.3+3518.4+597.6+609.3</f>
        <v>5318.6</v>
      </c>
      <c r="G53" s="24">
        <f>2171+520277+8880+152004</f>
        <v>683332</v>
      </c>
    </row>
    <row r="54" spans="1:7" s="16" customFormat="1" ht="9" customHeight="1">
      <c r="A54" s="52"/>
      <c r="B54" s="52"/>
      <c r="C54" s="18" t="s">
        <v>43</v>
      </c>
      <c r="D54" s="24">
        <f>106713+23399</f>
        <v>130112</v>
      </c>
      <c r="E54" s="23">
        <f>3214.8+890.5</f>
        <v>4105.3</v>
      </c>
      <c r="F54" s="26">
        <f>1959.1+188.7</f>
        <v>2147.7999999999997</v>
      </c>
      <c r="G54" s="24">
        <f>292299+109766</f>
        <v>402065</v>
      </c>
    </row>
    <row r="55" spans="1:7" s="16" customFormat="1" ht="9" customHeight="1">
      <c r="A55" s="52"/>
      <c r="B55" s="52"/>
      <c r="C55" s="18" t="s">
        <v>35</v>
      </c>
      <c r="D55" s="24">
        <v>19316</v>
      </c>
      <c r="E55" s="23">
        <v>1606.8</v>
      </c>
      <c r="F55" s="26">
        <v>975.9</v>
      </c>
      <c r="G55" s="24">
        <v>87759</v>
      </c>
    </row>
    <row r="56" spans="1:7" s="16" customFormat="1" ht="9" customHeight="1">
      <c r="A56" s="52"/>
      <c r="B56" s="52"/>
      <c r="C56" s="18" t="s">
        <v>80</v>
      </c>
      <c r="D56" s="16">
        <v>92772</v>
      </c>
      <c r="E56" s="23">
        <v>2282.6</v>
      </c>
      <c r="F56" s="26">
        <v>1469.6</v>
      </c>
      <c r="G56" s="24">
        <v>230095</v>
      </c>
    </row>
    <row r="57" spans="1:7" s="16" customFormat="1" ht="9" customHeight="1">
      <c r="A57" s="52" t="s">
        <v>40</v>
      </c>
      <c r="B57" s="52" t="s">
        <v>7</v>
      </c>
      <c r="C57" s="18" t="s">
        <v>42</v>
      </c>
      <c r="D57" s="25">
        <f>459+53500+220+44915</f>
        <v>99094</v>
      </c>
      <c r="E57" s="26">
        <f>64.4+5487.5+276.5+1071.2</f>
        <v>6899.599999999999</v>
      </c>
      <c r="F57" s="26">
        <f>32.4+1586+393+219.6</f>
        <v>2231</v>
      </c>
      <c r="G57" s="25">
        <f>2997+340022+8620+121038</f>
        <v>472677</v>
      </c>
    </row>
    <row r="58" spans="1:7" s="16" customFormat="1" ht="9" customHeight="1">
      <c r="A58" s="52"/>
      <c r="B58" s="52"/>
      <c r="C58" s="18" t="s">
        <v>43</v>
      </c>
      <c r="D58" s="24">
        <f>95238+20612</f>
        <v>115850</v>
      </c>
      <c r="E58" s="26">
        <f>2164.2+466.1</f>
        <v>2630.2999999999997</v>
      </c>
      <c r="F58" s="26">
        <f>961.9+170.5</f>
        <v>1132.4</v>
      </c>
      <c r="G58" s="25">
        <f>239184+85161</f>
        <v>324345</v>
      </c>
    </row>
    <row r="59" spans="1:7" s="16" customFormat="1" ht="9" customHeight="1">
      <c r="A59" s="52"/>
      <c r="B59" s="52"/>
      <c r="C59" s="18" t="s">
        <v>35</v>
      </c>
      <c r="D59" s="24">
        <v>11042</v>
      </c>
      <c r="E59" s="16">
        <v>1245</v>
      </c>
      <c r="F59" s="26">
        <v>783.1</v>
      </c>
      <c r="G59" s="24">
        <v>63991</v>
      </c>
    </row>
    <row r="60" spans="1:7" s="16" customFormat="1" ht="9" customHeight="1">
      <c r="A60" s="52"/>
      <c r="B60" s="52"/>
      <c r="C60" s="18" t="s">
        <v>81</v>
      </c>
      <c r="D60" s="24">
        <v>771712</v>
      </c>
      <c r="E60" s="23">
        <v>1209.1</v>
      </c>
      <c r="F60" s="26">
        <v>1327.8</v>
      </c>
      <c r="G60" s="24">
        <v>162081</v>
      </c>
    </row>
    <row r="61" spans="1:7" s="16" customFormat="1" ht="9" customHeight="1">
      <c r="A61" s="52" t="s">
        <v>41</v>
      </c>
      <c r="B61" s="52" t="s">
        <v>8</v>
      </c>
      <c r="C61" s="18" t="s">
        <v>42</v>
      </c>
      <c r="D61" s="25">
        <f>383+30478+224+50925</f>
        <v>82010</v>
      </c>
      <c r="E61" s="26">
        <f>50.6+4415.8+483.9+1697.2</f>
        <v>6647.5</v>
      </c>
      <c r="F61" s="26">
        <f>7.7+1677.8+766.1+1173.7</f>
        <v>3625.3</v>
      </c>
      <c r="G61" s="25">
        <f>2289+203184+13352+144269</f>
        <v>363094</v>
      </c>
    </row>
    <row r="62" spans="1:7" s="16" customFormat="1" ht="9" customHeight="1">
      <c r="A62" s="52"/>
      <c r="B62" s="52"/>
      <c r="C62" s="18" t="s">
        <v>43</v>
      </c>
      <c r="D62" s="25">
        <f>127314+24371</f>
        <v>151685</v>
      </c>
      <c r="E62" s="23">
        <f>2748.4+1151.5</f>
        <v>3899.9</v>
      </c>
      <c r="F62" s="26">
        <f>882+163.9</f>
        <v>1045.9</v>
      </c>
      <c r="G62" s="25">
        <f>283979+100328</f>
        <v>384307</v>
      </c>
    </row>
    <row r="63" spans="1:7" s="16" customFormat="1" ht="9" customHeight="1">
      <c r="A63" s="52"/>
      <c r="B63" s="52"/>
      <c r="C63" s="18" t="s">
        <v>35</v>
      </c>
      <c r="D63" s="24">
        <v>14939</v>
      </c>
      <c r="E63" s="23">
        <v>7004.6</v>
      </c>
      <c r="F63" s="23">
        <v>5189.7</v>
      </c>
      <c r="G63" s="24">
        <v>289383</v>
      </c>
    </row>
    <row r="64" spans="1:7" s="16" customFormat="1" ht="9" customHeight="1">
      <c r="A64" s="52"/>
      <c r="B64" s="52"/>
      <c r="C64" s="18" t="s">
        <v>81</v>
      </c>
      <c r="D64" s="24">
        <v>107304</v>
      </c>
      <c r="E64" s="23">
        <v>4613.7</v>
      </c>
      <c r="F64" s="26">
        <v>2133.4</v>
      </c>
      <c r="G64" s="24">
        <v>332196</v>
      </c>
    </row>
    <row r="65" spans="1:7" s="16" customFormat="1" ht="9" customHeight="1">
      <c r="A65" s="52" t="s">
        <v>58</v>
      </c>
      <c r="B65" s="52" t="s">
        <v>59</v>
      </c>
      <c r="C65" s="18" t="s">
        <v>42</v>
      </c>
      <c r="D65" s="24">
        <f>115+13451+104+13209</f>
        <v>26879</v>
      </c>
      <c r="E65" s="23">
        <f>31.3+1816.5+57+461.1</f>
        <v>2365.9</v>
      </c>
      <c r="F65" s="26">
        <f>7.6+1474.3+70+374.4</f>
        <v>1926.2999999999997</v>
      </c>
      <c r="G65" s="24">
        <f>1035+108219+1844+41754</f>
        <v>152852</v>
      </c>
    </row>
    <row r="66" spans="1:7" s="16" customFormat="1" ht="9" customHeight="1">
      <c r="A66" s="52"/>
      <c r="B66" s="52"/>
      <c r="C66" s="18" t="s">
        <v>43</v>
      </c>
      <c r="D66" s="24">
        <f>32464+7312</f>
        <v>39776</v>
      </c>
      <c r="E66" s="23">
        <f>438.4+122</f>
        <v>560.4</v>
      </c>
      <c r="F66" s="26">
        <f>339.2+83.1</f>
        <v>422.29999999999995</v>
      </c>
      <c r="G66" s="24">
        <f>66568+21918</f>
        <v>88486</v>
      </c>
    </row>
    <row r="67" spans="1:7" s="16" customFormat="1" ht="9" customHeight="1">
      <c r="A67" s="52"/>
      <c r="B67" s="52"/>
      <c r="C67" s="18" t="s">
        <v>35</v>
      </c>
      <c r="D67" s="24">
        <v>3006</v>
      </c>
      <c r="E67" s="23">
        <v>360.6</v>
      </c>
      <c r="F67" s="26">
        <v>151.1</v>
      </c>
      <c r="G67" s="24">
        <v>19365</v>
      </c>
    </row>
    <row r="68" spans="1:7" s="16" customFormat="1" ht="9" customHeight="1">
      <c r="A68" s="52"/>
      <c r="B68" s="52"/>
      <c r="C68" s="18" t="s">
        <v>80</v>
      </c>
      <c r="D68" s="24">
        <v>21666</v>
      </c>
      <c r="E68" s="23">
        <v>275.7</v>
      </c>
      <c r="F68" s="26">
        <v>113.4</v>
      </c>
      <c r="G68" s="24">
        <v>37049</v>
      </c>
    </row>
    <row r="69" spans="1:7" s="16" customFormat="1" ht="9" customHeight="1">
      <c r="A69" s="52" t="s">
        <v>9</v>
      </c>
      <c r="B69" s="52" t="s">
        <v>10</v>
      </c>
      <c r="C69" s="18" t="s">
        <v>42</v>
      </c>
      <c r="D69" s="24">
        <f>144+9515+407+10107</f>
        <v>20173</v>
      </c>
      <c r="E69" s="26">
        <f>24.3+3855+192.4+945.2</f>
        <v>5016.900000000001</v>
      </c>
      <c r="F69" s="26">
        <f>19.7+954.8+370.4</f>
        <v>1344.9</v>
      </c>
      <c r="G69" s="25">
        <f>888+139517+5444+41596</f>
        <v>187445</v>
      </c>
    </row>
    <row r="70" spans="1:7" s="16" customFormat="1" ht="9" customHeight="1">
      <c r="A70" s="52"/>
      <c r="B70" s="52"/>
      <c r="C70" s="18" t="s">
        <v>43</v>
      </c>
      <c r="D70" s="24">
        <f>19058+3457</f>
        <v>22515</v>
      </c>
      <c r="E70" s="26">
        <f>1685.4+208.4</f>
        <v>1893.8000000000002</v>
      </c>
      <c r="F70" s="21">
        <v>0</v>
      </c>
      <c r="G70" s="25">
        <f>79475+15037</f>
        <v>94512</v>
      </c>
    </row>
    <row r="71" spans="1:7" s="16" customFormat="1" ht="9" customHeight="1">
      <c r="A71" s="52"/>
      <c r="B71" s="52"/>
      <c r="C71" s="18" t="s">
        <v>35</v>
      </c>
      <c r="D71" s="24">
        <v>4883</v>
      </c>
      <c r="E71" s="23">
        <v>768.8</v>
      </c>
      <c r="F71" s="21">
        <v>0</v>
      </c>
      <c r="G71" s="24">
        <v>34764</v>
      </c>
    </row>
    <row r="72" spans="1:7" s="16" customFormat="1" ht="9" customHeight="1">
      <c r="A72" s="52"/>
      <c r="B72" s="52"/>
      <c r="C72" s="18" t="s">
        <v>81</v>
      </c>
      <c r="D72" s="24">
        <v>27155</v>
      </c>
      <c r="E72" s="23">
        <v>1528.6</v>
      </c>
      <c r="F72" s="21">
        <v>0</v>
      </c>
      <c r="G72" s="24">
        <v>63965</v>
      </c>
    </row>
    <row r="73" spans="1:7" s="16" customFormat="1" ht="9" customHeight="1">
      <c r="A73" s="52" t="s">
        <v>11</v>
      </c>
      <c r="B73" s="52" t="s">
        <v>12</v>
      </c>
      <c r="C73" s="18" t="s">
        <v>42</v>
      </c>
      <c r="D73" s="25">
        <f>79+8824+258+8509</f>
        <v>17670</v>
      </c>
      <c r="E73" s="26">
        <f>17.3+3147.9+116.7+755.1</f>
        <v>4037</v>
      </c>
      <c r="F73" s="26">
        <f>18.6+787.3+229.3</f>
        <v>1035.2</v>
      </c>
      <c r="G73" s="25">
        <f>652+119608+3402+32822</f>
        <v>156484</v>
      </c>
    </row>
    <row r="74" spans="1:7" s="16" customFormat="1" ht="9" customHeight="1">
      <c r="A74" s="52"/>
      <c r="B74" s="52"/>
      <c r="C74" s="18" t="s">
        <v>43</v>
      </c>
      <c r="D74" s="25">
        <f>21746+3704</f>
        <v>25450</v>
      </c>
      <c r="E74" s="26">
        <f>1828.5+192.8</f>
        <v>2021.3</v>
      </c>
      <c r="F74" s="21">
        <v>0</v>
      </c>
      <c r="G74" s="25">
        <f>84103+13879</f>
        <v>97982</v>
      </c>
    </row>
    <row r="75" spans="1:7" s="16" customFormat="1" ht="9" customHeight="1">
      <c r="A75" s="52"/>
      <c r="B75" s="52"/>
      <c r="C75" s="18" t="s">
        <v>35</v>
      </c>
      <c r="D75" s="24">
        <v>5227</v>
      </c>
      <c r="E75" s="23">
        <v>869.8</v>
      </c>
      <c r="F75" s="21">
        <v>0</v>
      </c>
      <c r="G75" s="24">
        <v>37429</v>
      </c>
    </row>
    <row r="76" spans="1:7" s="16" customFormat="1" ht="9" customHeight="1">
      <c r="A76" s="52"/>
      <c r="B76" s="52"/>
      <c r="C76" s="18" t="s">
        <v>80</v>
      </c>
      <c r="D76" s="24">
        <v>13189</v>
      </c>
      <c r="E76" s="23">
        <v>1650.2</v>
      </c>
      <c r="F76" s="21">
        <v>0</v>
      </c>
      <c r="G76" s="24">
        <v>64805</v>
      </c>
    </row>
    <row r="77" spans="1:7" s="16" customFormat="1" ht="9" customHeight="1">
      <c r="A77" s="52" t="s">
        <v>13</v>
      </c>
      <c r="B77" s="52" t="s">
        <v>14</v>
      </c>
      <c r="C77" s="18" t="s">
        <v>42</v>
      </c>
      <c r="D77" s="24">
        <f>125+5996+475+5505</f>
        <v>12101</v>
      </c>
      <c r="E77" s="26">
        <f>20.7+2222.7+92.3+429.2</f>
        <v>2764.8999999999996</v>
      </c>
      <c r="F77" s="26">
        <f>25.5+808.8+159.1</f>
        <v>993.4</v>
      </c>
      <c r="G77" s="36">
        <f>763+87988+3101+20607</f>
        <v>112459</v>
      </c>
    </row>
    <row r="78" spans="1:7" s="16" customFormat="1" ht="9" customHeight="1">
      <c r="A78" s="52"/>
      <c r="B78" s="52"/>
      <c r="C78" s="18" t="s">
        <v>43</v>
      </c>
      <c r="D78" s="25">
        <f>11530+2262</f>
        <v>13792</v>
      </c>
      <c r="E78" s="26">
        <f>834.6+132.1</f>
        <v>966.7</v>
      </c>
      <c r="F78" s="21">
        <v>0</v>
      </c>
      <c r="G78" s="36">
        <f>41452+9623</f>
        <v>51075</v>
      </c>
    </row>
    <row r="79" spans="1:7" s="16" customFormat="1" ht="9" customHeight="1">
      <c r="A79" s="52"/>
      <c r="B79" s="52"/>
      <c r="C79" s="18" t="s">
        <v>35</v>
      </c>
      <c r="D79" s="24">
        <v>3122</v>
      </c>
      <c r="E79" s="23">
        <v>450.5</v>
      </c>
      <c r="F79" s="21">
        <v>0</v>
      </c>
      <c r="G79" s="35">
        <v>20094</v>
      </c>
    </row>
    <row r="80" spans="1:7" s="16" customFormat="1" ht="9" customHeight="1">
      <c r="A80" s="52"/>
      <c r="B80" s="52"/>
      <c r="C80" s="18" t="s">
        <v>81</v>
      </c>
      <c r="D80" s="24">
        <v>6185</v>
      </c>
      <c r="E80" s="23">
        <v>672.5</v>
      </c>
      <c r="F80" s="21">
        <v>0</v>
      </c>
      <c r="G80" s="35">
        <v>29089</v>
      </c>
    </row>
    <row r="81" spans="1:7" s="16" customFormat="1" ht="9" customHeight="1">
      <c r="A81" s="52" t="s">
        <v>15</v>
      </c>
      <c r="B81" s="52" t="s">
        <v>16</v>
      </c>
      <c r="C81" s="18" t="s">
        <v>42</v>
      </c>
      <c r="D81" s="25">
        <f>58+2717+279+2710</f>
        <v>5764</v>
      </c>
      <c r="E81" s="26">
        <f>6.7+720.1+59.2+203.1</f>
        <v>989.1000000000001</v>
      </c>
      <c r="F81" s="26">
        <f>6.9+327.8+209.6</f>
        <v>544.3</v>
      </c>
      <c r="G81" s="36">
        <f>336+27100+2027+9446</f>
        <v>38909</v>
      </c>
    </row>
    <row r="82" spans="1:7" s="16" customFormat="1" ht="9" customHeight="1">
      <c r="A82" s="52"/>
      <c r="B82" s="52"/>
      <c r="C82" s="18" t="s">
        <v>43</v>
      </c>
      <c r="D82" s="24">
        <f>5276+1261</f>
        <v>6537</v>
      </c>
      <c r="E82" s="26">
        <f>376.8+63.5</f>
        <v>440.3</v>
      </c>
      <c r="F82" s="21">
        <v>0</v>
      </c>
      <c r="G82" s="36">
        <f>18941+4818</f>
        <v>23759</v>
      </c>
    </row>
    <row r="83" spans="1:7" s="16" customFormat="1" ht="9" customHeight="1">
      <c r="A83" s="52"/>
      <c r="B83" s="52"/>
      <c r="C83" s="18" t="s">
        <v>35</v>
      </c>
      <c r="D83" s="24">
        <v>1885</v>
      </c>
      <c r="E83" s="23">
        <v>270.4</v>
      </c>
      <c r="F83" s="21">
        <v>0</v>
      </c>
      <c r="G83" s="35">
        <v>11805</v>
      </c>
    </row>
    <row r="84" spans="1:7" s="16" customFormat="1" ht="9" customHeight="1">
      <c r="A84" s="52"/>
      <c r="B84" s="52"/>
      <c r="C84" s="18" t="s">
        <v>81</v>
      </c>
      <c r="D84" s="24">
        <v>7990</v>
      </c>
      <c r="E84" s="23">
        <v>377.6</v>
      </c>
      <c r="F84" s="21">
        <v>0</v>
      </c>
      <c r="G84" s="35">
        <v>15794</v>
      </c>
    </row>
    <row r="85" spans="1:7" s="16" customFormat="1" ht="9" customHeight="1">
      <c r="A85" s="53" t="s">
        <v>17</v>
      </c>
      <c r="B85" s="52" t="s">
        <v>18</v>
      </c>
      <c r="C85" s="18" t="s">
        <v>42</v>
      </c>
      <c r="D85" s="25">
        <f>85+3299+188+2958</f>
        <v>6530</v>
      </c>
      <c r="E85" s="26">
        <f>154.3+878.9+79.1+268</f>
        <v>1380.3</v>
      </c>
      <c r="F85" s="21">
        <f>124.4+259.6+218.7</f>
        <v>602.7</v>
      </c>
      <c r="G85" s="36">
        <f>4542+34419+2289+12106</f>
        <v>53356</v>
      </c>
    </row>
    <row r="86" spans="1:7" s="16" customFormat="1" ht="9" customHeight="1">
      <c r="A86" s="53"/>
      <c r="B86" s="52"/>
      <c r="C86" s="18" t="s">
        <v>43</v>
      </c>
      <c r="D86" s="25">
        <f>6116+1253</f>
        <v>7369</v>
      </c>
      <c r="E86" s="26">
        <f>464.8+88.1</f>
        <v>552.9</v>
      </c>
      <c r="F86" s="21">
        <v>0</v>
      </c>
      <c r="G86" s="36">
        <f>23217+6088</f>
        <v>29305</v>
      </c>
    </row>
    <row r="87" spans="1:7" s="16" customFormat="1" ht="9" customHeight="1">
      <c r="A87" s="53"/>
      <c r="B87" s="52"/>
      <c r="C87" s="18" t="s">
        <v>35</v>
      </c>
      <c r="D87" s="24">
        <v>2430</v>
      </c>
      <c r="E87" s="23">
        <v>348.8</v>
      </c>
      <c r="F87" s="21">
        <v>0</v>
      </c>
      <c r="G87" s="35">
        <v>14946</v>
      </c>
    </row>
    <row r="88" spans="1:7" s="16" customFormat="1" ht="9" customHeight="1">
      <c r="A88" s="53"/>
      <c r="B88" s="52"/>
      <c r="C88" s="18" t="s">
        <v>81</v>
      </c>
      <c r="D88" s="24">
        <v>12729</v>
      </c>
      <c r="E88" s="23">
        <v>442</v>
      </c>
      <c r="F88" s="21">
        <v>0</v>
      </c>
      <c r="G88" s="35">
        <v>18640</v>
      </c>
    </row>
    <row r="89" spans="1:7" s="16" customFormat="1" ht="9" customHeight="1">
      <c r="A89" s="53" t="s">
        <v>60</v>
      </c>
      <c r="B89" s="52" t="s">
        <v>61</v>
      </c>
      <c r="C89" s="18" t="s">
        <v>42</v>
      </c>
      <c r="D89" s="25">
        <f>102+7524+254+5189</f>
        <v>13069</v>
      </c>
      <c r="E89" s="26">
        <f>9.6+2650.4+91.5+382.8</f>
        <v>3134.3</v>
      </c>
      <c r="F89" s="21">
        <f>5.6+630.6+204.2</f>
        <v>840.4000000000001</v>
      </c>
      <c r="G89" s="36">
        <f>422+105082+2581+17427</f>
        <v>125512</v>
      </c>
    </row>
    <row r="90" spans="1:7" s="16" customFormat="1" ht="9" customHeight="1">
      <c r="A90" s="53"/>
      <c r="B90" s="52"/>
      <c r="C90" s="18" t="s">
        <v>43</v>
      </c>
      <c r="D90" s="25">
        <f>11437+2106</f>
        <v>13543</v>
      </c>
      <c r="E90" s="26">
        <f>986.7+122.1</f>
        <v>1108.8</v>
      </c>
      <c r="F90" s="21">
        <v>0</v>
      </c>
      <c r="G90" s="36">
        <f>47942+8867</f>
        <v>56809</v>
      </c>
    </row>
    <row r="91" spans="1:7" s="16" customFormat="1" ht="9" customHeight="1">
      <c r="A91" s="53"/>
      <c r="B91" s="52"/>
      <c r="C91" s="18" t="s">
        <v>35</v>
      </c>
      <c r="D91" s="24">
        <v>2791</v>
      </c>
      <c r="E91" s="23">
        <v>528.9</v>
      </c>
      <c r="F91" s="21">
        <v>0</v>
      </c>
      <c r="G91" s="35">
        <v>23219</v>
      </c>
    </row>
    <row r="92" spans="1:7" s="16" customFormat="1" ht="9" customHeight="1">
      <c r="A92" s="53"/>
      <c r="B92" s="52"/>
      <c r="C92" s="18" t="s">
        <v>80</v>
      </c>
      <c r="D92" s="24">
        <v>40961</v>
      </c>
      <c r="E92" s="16">
        <v>613.3</v>
      </c>
      <c r="F92" s="21">
        <v>0</v>
      </c>
      <c r="G92" s="35">
        <v>25903</v>
      </c>
    </row>
    <row r="93" spans="1:7" s="16" customFormat="1" ht="9" customHeight="1">
      <c r="A93" s="53" t="s">
        <v>19</v>
      </c>
      <c r="B93" s="52" t="s">
        <v>20</v>
      </c>
      <c r="C93" s="18" t="s">
        <v>42</v>
      </c>
      <c r="D93" s="19">
        <f>120+13073+415+12775</f>
        <v>26383</v>
      </c>
      <c r="E93" s="21">
        <f>16.5+5324.6+201.1+1053.5</f>
        <v>6595.700000000001</v>
      </c>
      <c r="F93" s="21">
        <f>10.7+1505.1+369.9</f>
        <v>1885.6999999999998</v>
      </c>
      <c r="G93" s="40">
        <f>587+186275+5727+46417</f>
        <v>239006</v>
      </c>
    </row>
    <row r="94" spans="1:7" s="16" customFormat="1" ht="9" customHeight="1">
      <c r="A94" s="53"/>
      <c r="B94" s="52"/>
      <c r="C94" s="18" t="s">
        <v>43</v>
      </c>
      <c r="D94" s="19">
        <f>28648+4761</f>
        <v>33409</v>
      </c>
      <c r="E94" s="23">
        <f>2691.8+339.6</f>
        <v>3031.4</v>
      </c>
      <c r="F94" s="21">
        <v>0</v>
      </c>
      <c r="G94" s="40">
        <f>+121467+23455</f>
        <v>144922</v>
      </c>
    </row>
    <row r="95" spans="1:7" s="16" customFormat="1" ht="9" customHeight="1">
      <c r="A95" s="53"/>
      <c r="B95" s="52"/>
      <c r="C95" s="18" t="s">
        <v>35</v>
      </c>
      <c r="D95" s="24">
        <v>7316</v>
      </c>
      <c r="E95" s="23">
        <v>1429.5</v>
      </c>
      <c r="F95" s="21">
        <v>0</v>
      </c>
      <c r="G95" s="35">
        <v>60337</v>
      </c>
    </row>
    <row r="96" spans="1:7" s="16" customFormat="1" ht="9" customHeight="1">
      <c r="A96" s="53"/>
      <c r="B96" s="52"/>
      <c r="C96" s="18" t="s">
        <v>81</v>
      </c>
      <c r="D96" s="24">
        <v>8635</v>
      </c>
      <c r="E96" s="23">
        <v>2287.5</v>
      </c>
      <c r="F96" s="21">
        <v>0</v>
      </c>
      <c r="G96" s="35">
        <v>91136</v>
      </c>
    </row>
    <row r="97" spans="2:7" s="16" customFormat="1" ht="9" customHeight="1">
      <c r="B97" s="17"/>
      <c r="C97" s="18"/>
      <c r="D97" s="24"/>
      <c r="E97" s="23"/>
      <c r="F97" s="21"/>
      <c r="G97" s="35"/>
    </row>
    <row r="98" spans="1:7" s="3" customFormat="1" ht="12" customHeight="1">
      <c r="A98" s="2" t="s">
        <v>68</v>
      </c>
      <c r="B98" s="2"/>
      <c r="C98" s="2"/>
      <c r="D98" s="42"/>
      <c r="E98" s="43"/>
      <c r="F98" s="43"/>
      <c r="G98" s="42"/>
    </row>
    <row r="99" ht="9" customHeight="1"/>
    <row r="100" spans="1:7" s="5" customFormat="1" ht="30.75" customHeight="1">
      <c r="A100" s="7" t="s">
        <v>37</v>
      </c>
      <c r="B100" s="8" t="s">
        <v>27</v>
      </c>
      <c r="C100" s="9" t="s">
        <v>34</v>
      </c>
      <c r="D100" s="10" t="s">
        <v>30</v>
      </c>
      <c r="E100" s="11" t="s">
        <v>31</v>
      </c>
      <c r="F100" s="11" t="s">
        <v>32</v>
      </c>
      <c r="G100" s="10" t="s">
        <v>33</v>
      </c>
    </row>
    <row r="101" spans="4:7" s="5" customFormat="1" ht="9" customHeight="1">
      <c r="D101" s="38"/>
      <c r="E101" s="39"/>
      <c r="F101" s="39"/>
      <c r="G101" s="38"/>
    </row>
    <row r="102" spans="1:7" s="5" customFormat="1" ht="9" customHeight="1">
      <c r="A102" s="53" t="s">
        <v>21</v>
      </c>
      <c r="B102" s="52" t="s">
        <v>73</v>
      </c>
      <c r="C102" s="18" t="s">
        <v>42</v>
      </c>
      <c r="D102" s="19">
        <f>53+2848+44+3172</f>
        <v>6117</v>
      </c>
      <c r="E102" s="21">
        <f>45.5+2379.1+163.5+835.3</f>
        <v>3423.3999999999996</v>
      </c>
      <c r="F102" s="21">
        <f>85.5+762.2+228.3+138.6</f>
        <v>1214.6</v>
      </c>
      <c r="G102" s="19">
        <f>1164+71088+4708+34249</f>
        <v>111209</v>
      </c>
    </row>
    <row r="103" spans="1:7" s="5" customFormat="1" ht="9" customHeight="1">
      <c r="A103" s="53"/>
      <c r="B103" s="52"/>
      <c r="C103" s="18" t="s">
        <v>43</v>
      </c>
      <c r="D103" s="19">
        <f>9542+3346</f>
        <v>12888</v>
      </c>
      <c r="E103" s="21">
        <f>1512+412.9</f>
        <v>1924.9</v>
      </c>
      <c r="F103" s="21">
        <f>416+104.6</f>
        <v>520.6</v>
      </c>
      <c r="G103" s="19">
        <f>98911+40818</f>
        <v>139729</v>
      </c>
    </row>
    <row r="104" spans="1:7" s="5" customFormat="1" ht="9" customHeight="1">
      <c r="A104" s="53"/>
      <c r="B104" s="52"/>
      <c r="C104" s="18" t="s">
        <v>35</v>
      </c>
      <c r="D104" s="19">
        <v>1553</v>
      </c>
      <c r="E104" s="21">
        <v>832.5</v>
      </c>
      <c r="F104" s="21">
        <v>458.8</v>
      </c>
      <c r="G104" s="19">
        <v>26423</v>
      </c>
    </row>
    <row r="105" spans="1:7" s="5" customFormat="1" ht="9" customHeight="1">
      <c r="A105" s="53"/>
      <c r="B105" s="52"/>
      <c r="C105" s="18" t="s">
        <v>81</v>
      </c>
      <c r="D105" s="19">
        <v>8635</v>
      </c>
      <c r="E105" s="21">
        <v>1680.1</v>
      </c>
      <c r="F105" s="21">
        <v>330</v>
      </c>
      <c r="G105" s="19">
        <v>75551</v>
      </c>
    </row>
    <row r="106" spans="1:7" s="5" customFormat="1" ht="9" customHeight="1">
      <c r="A106" s="53" t="s">
        <v>62</v>
      </c>
      <c r="B106" s="52" t="s">
        <v>74</v>
      </c>
      <c r="C106" s="18" t="s">
        <v>42</v>
      </c>
      <c r="D106" s="19">
        <f>136+7464+88+9881</f>
        <v>17569</v>
      </c>
      <c r="E106" s="21">
        <f>83.6+4043.7+163.2+1186.2</f>
        <v>5476.7</v>
      </c>
      <c r="F106" s="21">
        <f>278.8+783+183.8+256.8</f>
        <v>1502.3999999999999</v>
      </c>
      <c r="G106" s="19">
        <f>1401+137985+3589+52623</f>
        <v>195598</v>
      </c>
    </row>
    <row r="107" spans="1:7" s="5" customFormat="1" ht="9" customHeight="1">
      <c r="A107" s="53"/>
      <c r="B107" s="52"/>
      <c r="C107" s="18" t="s">
        <v>43</v>
      </c>
      <c r="D107" s="19">
        <f>19562+6024</f>
        <v>25586</v>
      </c>
      <c r="E107" s="21">
        <f>3293+588.7</f>
        <v>3881.7</v>
      </c>
      <c r="F107" s="21">
        <f>1028.6+213.4</f>
        <v>1242</v>
      </c>
      <c r="G107" s="19">
        <f>191323+64879</f>
        <v>256202</v>
      </c>
    </row>
    <row r="108" spans="1:7" s="5" customFormat="1" ht="9" customHeight="1">
      <c r="A108" s="53"/>
      <c r="B108" s="52"/>
      <c r="C108" s="18" t="s">
        <v>35</v>
      </c>
      <c r="D108" s="5">
        <v>4762</v>
      </c>
      <c r="E108" s="21">
        <v>1777.6</v>
      </c>
      <c r="F108" s="21">
        <v>783.9</v>
      </c>
      <c r="G108" s="19">
        <v>60881</v>
      </c>
    </row>
    <row r="109" spans="1:7" s="5" customFormat="1" ht="9" customHeight="1">
      <c r="A109" s="53"/>
      <c r="B109" s="52"/>
      <c r="C109" s="18" t="s">
        <v>80</v>
      </c>
      <c r="D109" s="19">
        <v>24100</v>
      </c>
      <c r="E109" s="21">
        <v>3523.8</v>
      </c>
      <c r="F109" s="21">
        <v>885.5</v>
      </c>
      <c r="G109" s="19">
        <v>148505</v>
      </c>
    </row>
    <row r="110" spans="1:7" s="5" customFormat="1" ht="9" customHeight="1">
      <c r="A110" s="53" t="s">
        <v>22</v>
      </c>
      <c r="B110" s="52" t="s">
        <v>75</v>
      </c>
      <c r="C110" s="18" t="s">
        <v>42</v>
      </c>
      <c r="D110" s="19">
        <f>90+4167+40+6108</f>
        <v>10405</v>
      </c>
      <c r="E110" s="21">
        <f>57.4+1970.9+78.8+644.2</f>
        <v>2751.3</v>
      </c>
      <c r="F110" s="5">
        <f>54.8+300.3+121.1+184.3</f>
        <v>660.5</v>
      </c>
      <c r="G110" s="19">
        <f>1463+66828+1630+30343</f>
        <v>100264</v>
      </c>
    </row>
    <row r="111" spans="1:7" s="5" customFormat="1" ht="9" customHeight="1">
      <c r="A111" s="53"/>
      <c r="B111" s="52"/>
      <c r="C111" s="18" t="s">
        <v>43</v>
      </c>
      <c r="D111" s="19">
        <f>11533+3920</f>
        <v>15453</v>
      </c>
      <c r="E111" s="21">
        <f>1571.1+404.8</f>
        <v>1975.8999999999999</v>
      </c>
      <c r="F111" s="21">
        <f>476.8+129.4</f>
        <v>606.2</v>
      </c>
      <c r="G111" s="19">
        <f>113417+37038</f>
        <v>150455</v>
      </c>
    </row>
    <row r="112" spans="1:7" s="5" customFormat="1" ht="9" customHeight="1">
      <c r="A112" s="53"/>
      <c r="B112" s="52"/>
      <c r="C112" s="18" t="s">
        <v>35</v>
      </c>
      <c r="D112" s="19">
        <v>2035</v>
      </c>
      <c r="E112" s="21">
        <v>470.4</v>
      </c>
      <c r="F112" s="21">
        <v>175.2</v>
      </c>
      <c r="G112" s="19">
        <v>19280</v>
      </c>
    </row>
    <row r="113" spans="1:7" s="5" customFormat="1" ht="9" customHeight="1">
      <c r="A113" s="53"/>
      <c r="B113" s="52"/>
      <c r="C113" s="18" t="s">
        <v>81</v>
      </c>
      <c r="D113" s="19">
        <v>13265</v>
      </c>
      <c r="E113" s="21">
        <v>1191.2</v>
      </c>
      <c r="F113" s="21">
        <v>642.5</v>
      </c>
      <c r="G113" s="19">
        <v>65910</v>
      </c>
    </row>
    <row r="114" spans="1:7" s="5" customFormat="1" ht="9" customHeight="1">
      <c r="A114" s="53" t="s">
        <v>23</v>
      </c>
      <c r="B114" s="52" t="s">
        <v>76</v>
      </c>
      <c r="C114" s="18" t="s">
        <v>42</v>
      </c>
      <c r="D114" s="19">
        <f>48+3017+80+4694</f>
        <v>7839</v>
      </c>
      <c r="E114" s="21">
        <f>30.4+1329.6+71.7+718</f>
        <v>2149.7</v>
      </c>
      <c r="F114" s="21">
        <f>23.9+243.9+185.4+174.4</f>
        <v>627.6</v>
      </c>
      <c r="G114" s="19">
        <f>903+50050+2591+29024</f>
        <v>82568</v>
      </c>
    </row>
    <row r="115" spans="1:7" s="5" customFormat="1" ht="9" customHeight="1">
      <c r="A115" s="53"/>
      <c r="B115" s="52"/>
      <c r="C115" s="18" t="s">
        <v>43</v>
      </c>
      <c r="D115" s="19">
        <f>10074+3900</f>
        <v>13974</v>
      </c>
      <c r="E115" s="21">
        <f>1225.1+423.3</f>
        <v>1648.3999999999999</v>
      </c>
      <c r="F115" s="21">
        <f>336.7+119.7</f>
        <v>456.4</v>
      </c>
      <c r="G115" s="19">
        <f>89724+52379</f>
        <v>142103</v>
      </c>
    </row>
    <row r="116" spans="1:7" s="5" customFormat="1" ht="9" customHeight="1">
      <c r="A116" s="53"/>
      <c r="B116" s="52"/>
      <c r="C116" s="18" t="s">
        <v>35</v>
      </c>
      <c r="D116" s="19">
        <v>1756</v>
      </c>
      <c r="E116" s="21">
        <v>630.4</v>
      </c>
      <c r="F116" s="21">
        <v>402.9</v>
      </c>
      <c r="G116" s="19">
        <v>23248</v>
      </c>
    </row>
    <row r="117" spans="1:7" s="5" customFormat="1" ht="9" customHeight="1">
      <c r="A117" s="53"/>
      <c r="B117" s="52"/>
      <c r="C117" s="18" t="s">
        <v>81</v>
      </c>
      <c r="D117" s="19">
        <v>9292</v>
      </c>
      <c r="E117" s="21">
        <v>1005.1</v>
      </c>
      <c r="F117" s="21">
        <v>464.7</v>
      </c>
      <c r="G117" s="19">
        <v>56094</v>
      </c>
    </row>
    <row r="118" spans="1:7" s="5" customFormat="1" ht="9" customHeight="1">
      <c r="A118" s="53" t="s">
        <v>24</v>
      </c>
      <c r="B118" s="52" t="s">
        <v>77</v>
      </c>
      <c r="C118" s="18" t="s">
        <v>42</v>
      </c>
      <c r="D118" s="19">
        <f>96+3599+101+5381</f>
        <v>9177</v>
      </c>
      <c r="E118" s="21">
        <f>37.7+3076+227.6+1332.3</f>
        <v>4673.599999999999</v>
      </c>
      <c r="F118" s="21">
        <f>66.1+605.6+478.5+222.3</f>
        <v>1372.5</v>
      </c>
      <c r="G118" s="19">
        <f>999+96920+5293+53918</f>
        <v>157130</v>
      </c>
    </row>
    <row r="119" spans="1:7" s="5" customFormat="1" ht="9" customHeight="1">
      <c r="A119" s="53"/>
      <c r="B119" s="52"/>
      <c r="C119" s="18" t="s">
        <v>43</v>
      </c>
      <c r="D119" s="19">
        <f>14749+5646</f>
        <v>20395</v>
      </c>
      <c r="E119" s="5">
        <f>2377.5+709.4</f>
        <v>3086.9</v>
      </c>
      <c r="F119" s="21">
        <f>811.7+158.3</f>
        <v>970</v>
      </c>
      <c r="G119" s="19">
        <f>152312+63309</f>
        <v>215621</v>
      </c>
    </row>
    <row r="120" spans="1:7" s="5" customFormat="1" ht="9" customHeight="1">
      <c r="A120" s="53"/>
      <c r="B120" s="52"/>
      <c r="C120" s="18" t="s">
        <v>35</v>
      </c>
      <c r="D120" s="19">
        <v>2541</v>
      </c>
      <c r="E120" s="21">
        <v>1184.4</v>
      </c>
      <c r="F120" s="21">
        <v>452.2</v>
      </c>
      <c r="G120" s="19">
        <v>40444</v>
      </c>
    </row>
    <row r="121" spans="1:7" s="5" customFormat="1" ht="9" customHeight="1">
      <c r="A121" s="53"/>
      <c r="B121" s="52"/>
      <c r="C121" s="18" t="s">
        <v>81</v>
      </c>
      <c r="D121" s="19">
        <v>14975</v>
      </c>
      <c r="E121" s="21">
        <v>3020.6</v>
      </c>
      <c r="F121" s="21">
        <v>1224.6</v>
      </c>
      <c r="G121" s="19">
        <v>113849</v>
      </c>
    </row>
    <row r="122" spans="1:7" s="5" customFormat="1" ht="9" customHeight="1">
      <c r="A122" s="53" t="s">
        <v>25</v>
      </c>
      <c r="B122" s="52" t="s">
        <v>78</v>
      </c>
      <c r="C122" s="18" t="s">
        <v>42</v>
      </c>
      <c r="D122" s="19">
        <f>118+4037+114+5377</f>
        <v>9646</v>
      </c>
      <c r="E122" s="21">
        <f>74.7+3449.9+380.1+1571</f>
        <v>5475.7</v>
      </c>
      <c r="F122" s="21">
        <f>36.1+691.3+606.6+173.4</f>
        <v>1507.4</v>
      </c>
      <c r="G122" s="19">
        <f>2094+101925+7527+53779</f>
        <v>165325</v>
      </c>
    </row>
    <row r="123" spans="1:7" s="5" customFormat="1" ht="9" customHeight="1">
      <c r="A123" s="53"/>
      <c r="B123" s="52"/>
      <c r="C123" s="18" t="s">
        <v>43</v>
      </c>
      <c r="D123" s="19">
        <f>16279+6086</f>
        <v>22365</v>
      </c>
      <c r="E123" s="21">
        <f>2735.9+697.5</f>
        <v>3433.4</v>
      </c>
      <c r="F123" s="21">
        <f>954.6+300.8</f>
        <v>1255.4</v>
      </c>
      <c r="G123" s="19">
        <f>172181+68371</f>
        <v>240552</v>
      </c>
    </row>
    <row r="124" spans="1:7" s="5" customFormat="1" ht="9" customHeight="1">
      <c r="A124" s="53"/>
      <c r="B124" s="52"/>
      <c r="C124" s="18" t="s">
        <v>35</v>
      </c>
      <c r="D124" s="19">
        <v>3116</v>
      </c>
      <c r="E124" s="21">
        <v>1985.2</v>
      </c>
      <c r="F124" s="21">
        <v>1202.1</v>
      </c>
      <c r="G124" s="19">
        <v>65225</v>
      </c>
    </row>
    <row r="125" spans="1:7" s="5" customFormat="1" ht="9" customHeight="1">
      <c r="A125" s="53"/>
      <c r="B125" s="52"/>
      <c r="C125" s="18" t="s">
        <v>81</v>
      </c>
      <c r="D125" s="19">
        <v>14349</v>
      </c>
      <c r="E125" s="21">
        <v>3490.1</v>
      </c>
      <c r="F125" s="21">
        <v>803.9</v>
      </c>
      <c r="G125" s="19">
        <v>130405</v>
      </c>
    </row>
    <row r="126" spans="1:7" s="5" customFormat="1" ht="9" customHeight="1">
      <c r="A126" s="53" t="s">
        <v>63</v>
      </c>
      <c r="B126" s="52" t="s">
        <v>79</v>
      </c>
      <c r="C126" s="18" t="s">
        <v>42</v>
      </c>
      <c r="D126" s="19">
        <f>75+1067+107+1769</f>
        <v>3018</v>
      </c>
      <c r="E126" s="21">
        <f>39.8+435.8+31.1+308.6</f>
        <v>815.3000000000001</v>
      </c>
      <c r="F126" s="21">
        <f>40.3+125.4+130.9+47.3</f>
        <v>343.90000000000003</v>
      </c>
      <c r="G126" s="19">
        <f>1070+15651+1013+11910</f>
        <v>29644</v>
      </c>
    </row>
    <row r="127" spans="1:7" s="5" customFormat="1" ht="9" customHeight="1">
      <c r="A127" s="53"/>
      <c r="B127" s="52"/>
      <c r="C127" s="18" t="s">
        <v>43</v>
      </c>
      <c r="D127" s="19">
        <f>3814+1874</f>
        <v>5688</v>
      </c>
      <c r="E127" s="21">
        <f>374.6+208.5</f>
        <v>583.1</v>
      </c>
      <c r="F127" s="21">
        <f>109.9+94.3</f>
        <v>204.2</v>
      </c>
      <c r="G127" s="19">
        <f>27358+19700</f>
        <v>47058</v>
      </c>
    </row>
    <row r="128" spans="1:7" s="5" customFormat="1" ht="9" customHeight="1">
      <c r="A128" s="53"/>
      <c r="B128" s="52"/>
      <c r="C128" s="18" t="s">
        <v>35</v>
      </c>
      <c r="D128" s="19">
        <v>1154</v>
      </c>
      <c r="E128" s="21">
        <v>250.6</v>
      </c>
      <c r="F128" s="21">
        <v>153.4</v>
      </c>
      <c r="G128" s="19">
        <v>9020</v>
      </c>
    </row>
    <row r="129" spans="1:7" s="5" customFormat="1" ht="9" customHeight="1">
      <c r="A129" s="53"/>
      <c r="B129" s="52"/>
      <c r="C129" s="18" t="s">
        <v>80</v>
      </c>
      <c r="D129" s="19">
        <v>2418</v>
      </c>
      <c r="E129" s="21">
        <v>404.1</v>
      </c>
      <c r="F129" s="21">
        <v>189.3</v>
      </c>
      <c r="G129" s="19">
        <v>16404</v>
      </c>
    </row>
    <row r="130" spans="2:7" s="37" customFormat="1" ht="9" customHeight="1">
      <c r="B130" s="37" t="s">
        <v>64</v>
      </c>
      <c r="D130" s="49" t="s">
        <v>29</v>
      </c>
      <c r="E130" s="50" t="s">
        <v>29</v>
      </c>
      <c r="F130" s="50" t="s">
        <v>29</v>
      </c>
      <c r="G130" s="49" t="s">
        <v>29</v>
      </c>
    </row>
    <row r="131" spans="2:7" s="29" customFormat="1" ht="9" customHeight="1">
      <c r="B131" s="29" t="s">
        <v>28</v>
      </c>
      <c r="D131" s="49" t="s">
        <v>29</v>
      </c>
      <c r="E131" s="50" t="s">
        <v>29</v>
      </c>
      <c r="F131" s="50" t="s">
        <v>29</v>
      </c>
      <c r="G131" s="49" t="s">
        <v>29</v>
      </c>
    </row>
    <row r="132" spans="2:7" s="41" customFormat="1" ht="9" customHeight="1">
      <c r="B132" s="41" t="s">
        <v>65</v>
      </c>
      <c r="D132" s="51" t="s">
        <v>29</v>
      </c>
      <c r="E132" s="51" t="s">
        <v>29</v>
      </c>
      <c r="F132" s="51" t="s">
        <v>29</v>
      </c>
      <c r="G132" s="51" t="s">
        <v>29</v>
      </c>
    </row>
    <row r="133" spans="4:7" s="29" customFormat="1" ht="9" customHeight="1">
      <c r="D133" s="49"/>
      <c r="E133" s="49"/>
      <c r="F133" s="49"/>
      <c r="G133" s="49"/>
    </row>
    <row r="134" spans="1:7" s="5" customFormat="1" ht="9.75" customHeight="1">
      <c r="A134" s="4" t="s">
        <v>26</v>
      </c>
      <c r="C134" s="4"/>
      <c r="D134" s="38"/>
      <c r="E134" s="39"/>
      <c r="F134" s="39"/>
      <c r="G134" s="38"/>
    </row>
    <row r="135" spans="1:7" s="5" customFormat="1" ht="9" customHeight="1">
      <c r="A135" s="6" t="s">
        <v>66</v>
      </c>
      <c r="C135" s="6"/>
      <c r="D135" s="38"/>
      <c r="E135" s="39"/>
      <c r="F135" s="39"/>
      <c r="G135" s="38"/>
    </row>
    <row r="136" spans="1:7" s="5" customFormat="1" ht="10.5" customHeight="1">
      <c r="A136" s="6" t="s">
        <v>36</v>
      </c>
      <c r="C136" s="6"/>
      <c r="D136" s="38"/>
      <c r="E136" s="39"/>
      <c r="F136" s="39"/>
      <c r="G136" s="38"/>
    </row>
    <row r="137" spans="1:7" s="5" customFormat="1" ht="9" customHeight="1">
      <c r="A137" s="6" t="s">
        <v>83</v>
      </c>
      <c r="D137" s="38"/>
      <c r="E137" s="39"/>
      <c r="F137" s="39"/>
      <c r="G137" s="38"/>
    </row>
    <row r="138" spans="1:7" s="5" customFormat="1" ht="9" customHeight="1">
      <c r="A138" s="6"/>
      <c r="D138" s="47"/>
      <c r="E138" s="48"/>
      <c r="F138" s="48"/>
      <c r="G138" s="47"/>
    </row>
    <row r="139" ht="9" customHeight="1">
      <c r="A139" s="5"/>
    </row>
    <row r="140" spans="1:7" s="1" customFormat="1" ht="9" customHeight="1">
      <c r="A140" s="5"/>
      <c r="D140" s="47"/>
      <c r="E140" s="48"/>
      <c r="F140" s="48"/>
      <c r="G140" s="47"/>
    </row>
    <row r="141" ht="9" customHeight="1"/>
    <row r="142" spans="4:7" s="1" customFormat="1" ht="9" customHeight="1">
      <c r="D142" s="47"/>
      <c r="E142" s="48"/>
      <c r="F142" s="48"/>
      <c r="G142" s="47"/>
    </row>
    <row r="143" spans="4:7" s="1" customFormat="1" ht="9" customHeight="1">
      <c r="D143" s="47"/>
      <c r="E143" s="48"/>
      <c r="F143" s="48"/>
      <c r="G143" s="47"/>
    </row>
    <row r="144" spans="4:7" s="1" customFormat="1" ht="9" customHeight="1">
      <c r="D144" s="47"/>
      <c r="E144" s="48"/>
      <c r="F144" s="48"/>
      <c r="G144" s="47"/>
    </row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</sheetData>
  <mergeCells count="60">
    <mergeCell ref="A17:A20"/>
    <mergeCell ref="B17:B20"/>
    <mergeCell ref="A21:A24"/>
    <mergeCell ref="B21:B24"/>
    <mergeCell ref="A25:A28"/>
    <mergeCell ref="B25:B28"/>
    <mergeCell ref="A33:A36"/>
    <mergeCell ref="B33:B36"/>
    <mergeCell ref="B29:B32"/>
    <mergeCell ref="A29:A32"/>
    <mergeCell ref="A37:A40"/>
    <mergeCell ref="B37:B40"/>
    <mergeCell ref="A69:A72"/>
    <mergeCell ref="B69:B72"/>
    <mergeCell ref="A41:A44"/>
    <mergeCell ref="B41:B44"/>
    <mergeCell ref="A45:A48"/>
    <mergeCell ref="B45:B48"/>
    <mergeCell ref="A49:A52"/>
    <mergeCell ref="B49:B52"/>
    <mergeCell ref="A57:A60"/>
    <mergeCell ref="B57:B60"/>
    <mergeCell ref="A53:A56"/>
    <mergeCell ref="B53:B56"/>
    <mergeCell ref="A61:A64"/>
    <mergeCell ref="B61:B64"/>
    <mergeCell ref="A65:A68"/>
    <mergeCell ref="B65:B68"/>
    <mergeCell ref="A102:A105"/>
    <mergeCell ref="B102:B105"/>
    <mergeCell ref="A93:A96"/>
    <mergeCell ref="B93:B96"/>
    <mergeCell ref="A114:A117"/>
    <mergeCell ref="B114:B117"/>
    <mergeCell ref="A106:A109"/>
    <mergeCell ref="B106:B109"/>
    <mergeCell ref="A110:A113"/>
    <mergeCell ref="B110:B113"/>
    <mergeCell ref="A126:A129"/>
    <mergeCell ref="B126:B129"/>
    <mergeCell ref="A118:A121"/>
    <mergeCell ref="B118:B121"/>
    <mergeCell ref="A122:A125"/>
    <mergeCell ref="B122:B125"/>
    <mergeCell ref="A13:A16"/>
    <mergeCell ref="B13:B16"/>
    <mergeCell ref="A5:A8"/>
    <mergeCell ref="B5:B8"/>
    <mergeCell ref="A9:A12"/>
    <mergeCell ref="B9:B12"/>
    <mergeCell ref="A73:A76"/>
    <mergeCell ref="B73:B76"/>
    <mergeCell ref="A77:A80"/>
    <mergeCell ref="B77:B80"/>
    <mergeCell ref="A81:A84"/>
    <mergeCell ref="B81:B84"/>
    <mergeCell ref="A89:A92"/>
    <mergeCell ref="B89:B92"/>
    <mergeCell ref="A85:A88"/>
    <mergeCell ref="B85:B88"/>
  </mergeCells>
  <printOptions/>
  <pageMargins left="0.31496062992125984" right="0.35433070866141736" top="0.5905511811023623" bottom="0.5905511811023623" header="0.5118110236220472" footer="0.5118110236220472"/>
  <pageSetup fitToHeight="2" horizontalDpi="300" verticalDpi="300" orientation="portrait" paperSize="9" scale="85" r:id="rId1"/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cge0314</cp:lastModifiedBy>
  <cp:lastPrinted>2005-12-27T14:49:12Z</cp:lastPrinted>
  <dcterms:created xsi:type="dcterms:W3CDTF">2002-06-21T13:42:56Z</dcterms:created>
  <dcterms:modified xsi:type="dcterms:W3CDTF">2006-12-05T14:56:26Z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